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ungt\Documents\TaraYoung\Timesheets\Timesheet Templates\"/>
    </mc:Choice>
  </mc:AlternateContent>
  <xr:revisionPtr revIDLastSave="0" documentId="13_ncr:1_{698EC293-49AD-4409-A2E7-65F243225D34}" xr6:coauthVersionLast="36" xr6:coauthVersionMax="36" xr10:uidLastSave="{00000000-0000-0000-0000-000000000000}"/>
  <bookViews>
    <workbookView xWindow="0" yWindow="0" windowWidth="28800" windowHeight="12225" tabRatio="720" activeTab="1" xr2:uid="{99B4961B-EC35-4FF6-899B-B76F06D1AD76}"/>
  </bookViews>
  <sheets>
    <sheet name="May-Jun2" sheetId="27" r:id="rId1"/>
    <sheet name="Jun-Jul" sheetId="1" r:id="rId2"/>
    <sheet name="Jul-Aug" sheetId="14" r:id="rId3"/>
    <sheet name="Aug-Sep" sheetId="15" r:id="rId4"/>
    <sheet name="Sep-Oct" sheetId="16" r:id="rId5"/>
    <sheet name="Oct-Nov" sheetId="18" r:id="rId6"/>
    <sheet name="Nov-Dec" sheetId="19" r:id="rId7"/>
    <sheet name="Dec-Jan" sheetId="20" r:id="rId8"/>
    <sheet name="Jan-Feb" sheetId="21" r:id="rId9"/>
    <sheet name="Feb-Mar" sheetId="22" r:id="rId10"/>
    <sheet name="Mar-Apr" sheetId="24" r:id="rId11"/>
    <sheet name="Apr-May" sheetId="25" r:id="rId12"/>
    <sheet name="May-Jun" sheetId="23" r:id="rId13"/>
    <sheet name="Jun-Jun30" sheetId="30" r:id="rId14"/>
    <sheet name="Worksheet" sheetId="13" state="hidden" r:id="rId15"/>
    <sheet name="EE Info" sheetId="29" state="hidden" r:id="rId16"/>
  </sheets>
  <externalReferences>
    <externalReference r:id="rId17"/>
  </externalReferences>
  <definedNames>
    <definedName name="AprOL">'Mar-Apr'!$K$6:$K$36</definedName>
    <definedName name="AprPL">'Mar-Apr'!$J$6:$J$36</definedName>
    <definedName name="AprSL">'Mar-Apr'!$I$6:$I$36</definedName>
    <definedName name="AprSubL" localSheetId="13">'Mar-Apr'!#REF!</definedName>
    <definedName name="AprSubL">'Mar-Apr'!#REF!</definedName>
    <definedName name="AprSubs">'Mar-Apr'!$O$6:$O$36</definedName>
    <definedName name="AugOL">'Jul-Aug'!$K$6:$K$36</definedName>
    <definedName name="AugPL">'Jul-Aug'!$J$6:$J$36</definedName>
    <definedName name="AugSL">'Jul-Aug'!$I$6:$I$36</definedName>
    <definedName name="AugSubL" localSheetId="13">'Jul-Aug'!#REF!</definedName>
    <definedName name="AugSubL">'Jul-Aug'!#REF!</definedName>
    <definedName name="AugSubs">'Jul-Aug'!$O$6:$O$36</definedName>
    <definedName name="DAY" localSheetId="13">IFERROR(INDEX(PRDates[DAY],_xlfn.AGGREGATE(15,6,(ROW(PRDates[DAY])-MIN(ROW(PRDates[DAY]))+1)/(PRDates[DAY]&lt;&gt;"")/(ISNA(MATCH(PRDates[DAY],Worksheet!$M$21:A1048576,0))),1)),"")</definedName>
    <definedName name="DAY" localSheetId="0">IFERROR(INDEX(PRDates[DAY],_xlfn.AGGREGATE(15,6,(ROW(PRDates[DAY])-MIN(ROW(PRDates[DAY]))+1)/(PRDates[DAY]&lt;&gt;"")/(ISNA(MATCH(PRDates[DAY],Worksheet!$M$21:A1048576,0))),1)),"")</definedName>
    <definedName name="DAY">IFERROR(INDEX(PRDates[DAY],_xlfn.AGGREGATE(15,6,(ROW(PRDates[DAY])-MIN(ROW(PRDates[DAY]))+1)/(PRDates[DAY]&lt;&gt;"")/(ISNA(MATCH(PRDates[DAY],Worksheet!$M$21:A1048576,0))),1)),"")</definedName>
    <definedName name="DAYPdays" localSheetId="13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 localSheetId="0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Pdays">IF(WEEKDAY(DATE(YEAR(Worksheet!G1048576),MONTH(Worksheet!G1048576)+1,DAY(Worksheet!#REF!)))=6,DATE(YEAR(Worksheet!G1048576),MONTH(Worksheet!G1048576)+1,DAY(Worksheet!#REF!)-1),IF(WEEKDAY(DATE(YEAR(Worksheet!G1048576),MONTH(Worksheet!G1048576)+1,DAY(Worksheet!#REF!)))=7,DATE(YEAR(Worksheet!G1048576),MONTH(Worksheet!G1048576)+1,DAY(Worksheet!I$9)-2),IF(WEEKDAY(DATE(YEAR(Worksheet!G1048576),MONTH(Worksheet!G1048576)+1,DAY(Worksheet!#REF!)))=1,DATE(YEAR(Worksheet!G1048576),MONTH(Worksheet!G1048576)+1,DAY(Worksheet!#REF!)-3),DATE(YEAR(Worksheet!G1048576),MONTH(Worksheet!G1048576)+1,DAY(Worksheet!#REF!)))))</definedName>
    <definedName name="Days15">IF(WEEKDAY(DATE(YEAR(Worksheet!A1048563),MONTH(Worksheet!A1048563),DAY(15)))=7,DATE(YEAR(Worksheet!A1048563),MONTH(Worksheet!A1048563),DAY(15)-1),IF(WEEKDAY(DATE(YEAR(Worksheet!A1048563),MONTH(Worksheet!A1048563),DAY(15)))=1,DATE(YEAR(Worksheet!A1048563),MONTH(Worksheet!A1048563),DAY(15)-2),DATE(YEAR(Worksheet!A1048563),MONTH(Worksheet!A1048563),DAY(15))))</definedName>
    <definedName name="Days21">IF(WEEKDAY(DATE(YEAR(Worksheet!A1048563),MONTH(Worksheet!A1048563),DAY(21)))=7,DATE(YEAR(Worksheet!A1048563),MONTH(Worksheet!A1048563),DAY(21)-1),IF(WEEKDAY(DATE(YEAR(Worksheet!A1048563),MONTH(Worksheet!A1048563),DAY(21)))=1,DATE(YEAR(Worksheet!A1048563),MONTH(Worksheet!A1048563),DAY(21)-2),DATE(YEAR(Worksheet!A1048563),MONTH(Worksheet!A1048563),DAY(21))))</definedName>
    <definedName name="Days35">IF(WEEKDAY(DATE(YEAR(Worksheet!A1048576),MONTH(Worksheet!A1048576),DAY(Worksheet!A1048576)+35))=6,DATE(YEAR(Worksheet!A1048576),MONTH(Worksheet!A1048576),DAY(Worksheet!A1048576)+34),IF(WEEKDAY(DATE(YEAR(Worksheet!A1048576),MONTH(Worksheet!A1048576),DAY(Worksheet!A1048576)+35))=7,DATE(YEAR(Worksheet!A1048576),MONTH(Worksheet!A1048576),DAY(Worksheet!A1048576)+33),IF(WEEKDAY(DATE(YEAR(Worksheet!A1048576),MONTH(Worksheet!A1048576),DAY(Worksheet!A1048576)+35))=1,DATE(YEAR(Worksheet!A1048576),MONTH(Worksheet!A1048576),DAY(Worksheet!A1048576)+32),"")))</definedName>
    <definedName name="DecOL">'Nov-Dec'!$K$6:$K$35</definedName>
    <definedName name="DecPL">'Nov-Dec'!$J$6:$J$35</definedName>
    <definedName name="DecSL">'Nov-Dec'!$I$6:$I$35</definedName>
    <definedName name="DecSubL" localSheetId="13">'Nov-Dec'!#REF!</definedName>
    <definedName name="DecSubL">'Nov-Dec'!#REF!</definedName>
    <definedName name="DecSubs">'Nov-Dec'!$O$6:$O$35</definedName>
    <definedName name="EE.N">'EE Info'!$I$4:$I$58</definedName>
    <definedName name="EE.P">'EE Info'!$J$3:$J$57</definedName>
    <definedName name="EEList">'EE Info'!$B$14:$B$62</definedName>
    <definedName name="EName_Date">Worksheet!$M$9:$N$130</definedName>
    <definedName name="ESD" localSheetId="13">IFERROR(INDEX(PRDates[C1],_xlfn.AGGREGATE(15,6,(ROW(PRDates[C1])-MIN(ROW(PRDates[C1]))+1)/(PRDates[C1]&lt;&gt;"")/(ISNA(MATCH(PRDates[C1],Worksheet!$M$21:A1048576,0))),1)),"")</definedName>
    <definedName name="ESD" localSheetId="0">IFERROR(INDEX(PRDates[C1],_xlfn.AGGREGATE(15,6,(ROW(PRDates[C1])-MIN(ROW(PRDates[C1]))+1)/(PRDates[C1]&lt;&gt;"")/(ISNA(MATCH(PRDates[C1],Worksheet!$M$21:A1048576,0))),1)),"")</definedName>
    <definedName name="ESD">IFERROR(INDEX(PRDates[C1],_xlfn.AGGREGATE(15,6,(ROW(PRDates[C1])-MIN(ROW(PRDates[C1]))+1)/(PRDates[C1]&lt;&gt;"")/(ISNA(MATCH(PRDates[C1],Worksheet!$M$21:A1048576,0))),1)),"")</definedName>
    <definedName name="ESDPD">Worksheet!$S$10:$S$34</definedName>
    <definedName name="Event_date">Worksheet!$M$9:$M$20</definedName>
    <definedName name="Event_name">Worksheet!$N$9:$N$20</definedName>
    <definedName name="FebOL">'Jan-Feb'!$K$6:$K$36</definedName>
    <definedName name="FebPL">'Jan-Feb'!$J$6:$J$36</definedName>
    <definedName name="FebSL">'Jan-Feb'!$I$6:$I$36</definedName>
    <definedName name="FebSubL" localSheetId="13">'Jan-Feb'!#REF!</definedName>
    <definedName name="FebSubL">'Jan-Feb'!#REF!</definedName>
    <definedName name="FebSubs">'Jan-Feb'!$O$6:$O$36</definedName>
    <definedName name="Holiday">Worksheet!$M$9:$N$26</definedName>
    <definedName name="Instructions">'Jun-Jul'!#REF!</definedName>
    <definedName name="JanOL">'Dec-Jan'!$K$6:$K$36</definedName>
    <definedName name="JanPL">'Dec-Jan'!$J$6:$J$36</definedName>
    <definedName name="JanSL">'Dec-Jan'!$I$6:$I$36</definedName>
    <definedName name="JanSubL" localSheetId="13">'Dec-Jan'!#REF!</definedName>
    <definedName name="JanSubL">'Dec-Jan'!#REF!</definedName>
    <definedName name="JanSubs">'Dec-Jan'!$O$6:$O$36</definedName>
    <definedName name="JunOL" localSheetId="13">'Jun-Jun30'!$K$6:$K$36</definedName>
    <definedName name="JunOL" localSheetId="0">'May-Jun2'!$K$6:$K$36</definedName>
    <definedName name="JunOL">'May-Jun'!$K$6:$K$36</definedName>
    <definedName name="JunPL" localSheetId="13">'Jun-Jun30'!$J$6:$J$36</definedName>
    <definedName name="JunPL" localSheetId="0">'May-Jun2'!$J$6:$J$36</definedName>
    <definedName name="JunPL">'May-Jun'!$J$6:$J$36</definedName>
    <definedName name="JunSL" localSheetId="13">'Jun-Jun30'!$I$6:$I$36</definedName>
    <definedName name="JunSL" localSheetId="0">'May-Jun2'!$I$6:$I$36</definedName>
    <definedName name="JunSL">'May-Jun'!$I$6:$I$36</definedName>
    <definedName name="JunSubL" localSheetId="13">'Jun-Jun30'!#REF!</definedName>
    <definedName name="JunSubL" localSheetId="0">'May-Jun2'!#REF!</definedName>
    <definedName name="JunSubL">'May-Jun'!#REF!</definedName>
    <definedName name="JunSubs" localSheetId="13">'Jun-Jun30'!$O$6:$O$36</definedName>
    <definedName name="JunSubs" localSheetId="0">'May-Jun2'!$O$6:$O$36</definedName>
    <definedName name="JunSubs">'May-Jun'!$O$6:$O$36</definedName>
    <definedName name="LCPDays">IF(WEEKDAY(DATE(YEAR(Worksheet!A1048576),MONTH(Worksheet!A1048576)+1,DAY(Worksheet!$AD$9)))=6,DATE(YEAR(Worksheet!A1048576),MONTH(Worksheet!A1048576)+1,DAY(Worksheet!$AD$9)-1),IF(WEEKDAY(DATE(YEAR(Worksheet!A1048576),MONTH(Worksheet!A1048576)+1,DAY(Worksheet!$AD$9)))=7,DATE(YEAR(Worksheet!A1048576),MONTH(Worksheet!A1048576)+1,DAY(Worksheet!$AD$9)-2),IF(WEEKDAY(DATE(YEAR(Worksheet!A1048576),MONTH(Worksheet!A1048576)+1,DAY(Worksheet!$AD$9)))=1,DATE(YEAR(Worksheet!A1048576),MONTH(Worksheet!A1048576)+1,DAY(Worksheet!$AD$9)-3),DATE(YEAR(Worksheet!A1048576),MONTH(Worksheet!A1048576)+1,DAY(Worksheet!$AD$9)))))</definedName>
    <definedName name="lunch">Worksheet!$B$10:$B$22</definedName>
    <definedName name="MarOL">'Feb-Mar'!$K$6:$K$34</definedName>
    <definedName name="MarPL">'Feb-Mar'!$J$6:$J$34</definedName>
    <definedName name="MarSL">'Feb-Mar'!$I$6:$I$34</definedName>
    <definedName name="MarSubL" localSheetId="13">'Feb-Mar'!#REF!</definedName>
    <definedName name="MarSubL">'Feb-Mar'!#REF!</definedName>
    <definedName name="MarSubs">'Feb-Mar'!$O$6:$O$34</definedName>
    <definedName name="MayOL">'Apr-May'!$K$6:$K$36</definedName>
    <definedName name="MayPL">'Apr-May'!$J$6:$J$36</definedName>
    <definedName name="MaySL">'Apr-May'!$I$6:$I$36</definedName>
    <definedName name="MaySubL" localSheetId="13">'Apr-May'!#REF!</definedName>
    <definedName name="MaySubL">'Apr-May'!#REF!</definedName>
    <definedName name="MaySubs">'Apr-May'!$O$6:$O$35</definedName>
    <definedName name="MON" localSheetId="13">IFERROR(INDEX(#REF!,_xlfn.AGGREGATE(15,6,(ROW(#REF!)-MIN(ROW(#REF!))+1)/(#REF!&lt;&gt;"")/(ISNA(MATCH(#REF!,Worksheet!$M$21:A1048576,0))),1)),"")</definedName>
    <definedName name="MON" localSheetId="0">IFERROR(INDEX(#REF!,_xlfn.AGGREGATE(15,6,(ROW(#REF!)-MIN(ROW(#REF!))+1)/(#REF!&lt;&gt;"")/(ISNA(MATCH(#REF!,Worksheet!$M$21:A1048576,0))),1)),"")</definedName>
    <definedName name="MON">IFERROR(INDEX(#REF!,_xlfn.AGGREGATE(15,6,(ROW(#REF!)-MIN(ROW(#REF!))+1)/(#REF!&lt;&gt;"")/(ISNA(MATCH(#REF!,Worksheet!$M$21:A1048576,0))),1)),"")</definedName>
    <definedName name="MONPdays">IF(WEEKDAY(DATE(YEAR(Worksheet!A1048576),MONTH(Worksheet!A1048576)+1,DAY(Worksheet!$X$9)))=7,DATE(YEAR(Worksheet!A1048576),MONTH(Worksheet!A1048576)+1,DAY(Worksheet!$X$9)-1),IF(WEEKDAY(DATE(YEAR(Worksheet!A1048576),MONTH(Worksheet!A1048576)+1,DAY(Worksheet!$X$9)))=1,DATE(YEAR(Worksheet!A1048576),MONTH(Worksheet!A1048576)+1,DAY(Worksheet!$X$9)-2),DATE(YEAR(Worksheet!A1048576),MONTH(Worksheet!A1048576)+1,DAY(Worksheet!$X$9))))</definedName>
    <definedName name="NovOL">'Oct-Nov'!$K$6:$K$36</definedName>
    <definedName name="NovPL">'Oct-Nov'!$J$6:$J$36</definedName>
    <definedName name="NovSL">'Oct-Nov'!$I$6:$I$36</definedName>
    <definedName name="NovSubL" localSheetId="13">'Oct-Nov'!#REF!</definedName>
    <definedName name="NovSubL">'Oct-Nov'!#REF!</definedName>
    <definedName name="NovSubs">'Oct-Nov'!$O$6:$O$36</definedName>
    <definedName name="OctOL">'Sep-Oct'!$K$6:$K$36</definedName>
    <definedName name="OctPL">'Sep-Oct'!$J$6:$J$36</definedName>
    <definedName name="OctSL">'Sep-Oct'!$I$6:$I$36</definedName>
    <definedName name="OctSubL" localSheetId="13">'Sep-Oct'!#REF!</definedName>
    <definedName name="OctSubL">'Sep-Oct'!#REF!</definedName>
    <definedName name="OctSubs">'Sep-Oct'!$O$6:$O$36</definedName>
    <definedName name="OL">'Jun-Jul'!$K$6:$K$36</definedName>
    <definedName name="PC" localSheetId="13">IFERROR(INDEX(PRDates[PC],_xlfn.AGGREGATE(15,6,(ROW(PRDates[PC])-MIN(ROW(PRDates[PC]))+1)/(PRDates[PC]&lt;&gt;"")/(ISNA(MATCH(PRDates[PC],Worksheet!$M$21:A1048576,0))),1)),"")</definedName>
    <definedName name="PC" localSheetId="0">IFERROR(INDEX(PRDates[PC],_xlfn.AGGREGATE(15,6,(ROW(PRDates[PC])-MIN(ROW(PRDates[PC]))+1)/(PRDates[PC]&lt;&gt;"")/(ISNA(MATCH(PRDates[PC],Worksheet!$M$21:A1048576,0))),1)),"")</definedName>
    <definedName name="PC">IFERROR(INDEX(PRDates[PC],_xlfn.AGGREGATE(15,6,(ROW(PRDates[PC])-MIN(ROW(PRDates[PC]))+1)/(PRDates[PC]&lt;&gt;"")/(ISNA(MATCH(PRDates[PC],Worksheet!$M$21:A1048576,0))),1)),"")</definedName>
    <definedName name="PCPDate">Worksheet!$T$10:$T$41</definedName>
    <definedName name="PCPdays">IF(WEEKDAY(DATE(YEAR(Worksheet!A1048576),MONTH(Worksheet!A1048576)+1,DAY(Worksheet!$U$9)))=6,DATE(YEAR(Worksheet!A1048576),MONTH(Worksheet!A1048576)+1,DAY(Worksheet!$U$9)-1),IF(WEEKDAY(DATE(YEAR(Worksheet!A1048576),MONTH(Worksheet!A1048576)+1,DAY(Worksheet!$U$9)))=7,DATE(YEAR(Worksheet!A1048576),MONTH(Worksheet!A1048576)+1,DAY(Worksheet!$U$9)-2),IF(WEEKDAY(DATE(YEAR(Worksheet!A1048576),MONTH(Worksheet!A1048576)+1,DAY(Worksheet!$U$9)))=1,DATE(YEAR(Worksheet!A1048576),MONTH(Worksheet!A1048576)+1,DAY(Worksheet!$U$9)-3),DATE(YEAR(Worksheet!A1048576),MONTH(Worksheet!A1048576)+1,DAY(Worksheet!$U$9)))))</definedName>
    <definedName name="PL">'Jun-Jul'!$J$6:$J$36</definedName>
    <definedName name="_xlnm.Print_Area" localSheetId="11">'Apr-May'!$B$1:$O$59</definedName>
    <definedName name="_xlnm.Print_Area" localSheetId="3">'Aug-Sep'!$B$1:$O$59</definedName>
    <definedName name="_xlnm.Print_Area" localSheetId="7">'Dec-Jan'!$B:$O</definedName>
    <definedName name="_xlnm.Print_Area" localSheetId="9">'Feb-Mar'!$B$1:$O$59</definedName>
    <definedName name="_xlnm.Print_Area" localSheetId="8">'Jan-Feb'!$B$1:$O$59</definedName>
    <definedName name="_xlnm.Print_Area" localSheetId="2">'Jul-Aug'!$B$1:$O$59</definedName>
    <definedName name="_xlnm.Print_Area" localSheetId="1">'Jun-Jul'!$B$1:$O$59</definedName>
    <definedName name="_xlnm.Print_Area" localSheetId="13">'Jun-Jun30'!$B$1:$O$59</definedName>
    <definedName name="_xlnm.Print_Area" localSheetId="10">'Mar-Apr'!$B$1:$O$59</definedName>
    <definedName name="_xlnm.Print_Area" localSheetId="12">'May-Jun'!$B$1:$O$59</definedName>
    <definedName name="_xlnm.Print_Area" localSheetId="0">'May-Jun2'!$B$1:$O$59</definedName>
    <definedName name="_xlnm.Print_Area" localSheetId="6">'Nov-Dec'!$B$1:$O$59</definedName>
    <definedName name="_xlnm.Print_Area" localSheetId="5">'Oct-Nov'!$B$1:$O$59</definedName>
    <definedName name="_xlnm.Print_Area" localSheetId="4">'Sep-Oct'!$B$1:$O$59</definedName>
    <definedName name="PRNotes">Worksheet!$M$30:$N$63</definedName>
    <definedName name="SepOL">'Aug-Sep'!$K$6:$K$36</definedName>
    <definedName name="SepPL">'Aug-Sep'!$J$6:$J$36</definedName>
    <definedName name="SepSL">'Aug-Sep'!$I$6:$I$36</definedName>
    <definedName name="SepSubL" localSheetId="13">'Aug-Sep'!#REF!</definedName>
    <definedName name="SepSubL">'Aug-Sep'!#REF!</definedName>
    <definedName name="SepSubs">'Aug-Sep'!$O$6:$O$36</definedName>
    <definedName name="Sl">'Jun-Jul'!$I$6:$I$36</definedName>
    <definedName name="Sub4D">IF(WEEKDAY(DATE(YEAR(Worksheet!A1048563),MONTH(Worksheet!A1048563),DAY(Worksheet!A1048563)-4))=7,DATE(YEAR(Worksheet!A1048563),MONTH(Worksheet!A1048563),DAY(Worksheet!A1048563)-4+2),IF(WEEKDAY(DATE(YEAR(Worksheet!A1048563),MONTH(Worksheet!A1048563),DAY(Worksheet!A1048563)-4))=1,DATE(YEAR(Worksheet!A1048563),MONTH(Worksheet!A1048563),DAY(Worksheet!A1048563)-4+1),IF(DATE(YEAR(Worksheet!A1048563),MONTH(Worksheet!A1048563),DAY(Worksheet!A1048563)-4)=WEEKDAY(DATE(YEAR(Worksheet!A1048563),MONTH(Worksheet!A1048563),DAY(Worksheet!A1048563)-4)),WEEKDAY(DATE(YEAR(Worksheet!A1048563),MONTH(Worksheet!A1048563),DAY(Worksheet!A1048563)-4)),DATE(YEAR(Worksheet!A1048563),MONTH(Worksheet!A1048563),DAY(Worksheet!A1048563)-4))))</definedName>
    <definedName name="Sub6D">IF(WEEKDAY(DATE(YEAR(Worksheet!A1048563),MONTH(Worksheet!A1048563),DAY(Worksheet!A1048563)-6))=7,DATE(YEAR(Worksheet!A1048563),MONTH(Worksheet!A1048563),DAY(Worksheet!A1048563)-6+2),IF(WEEKDAY(DATE(YEAR(Worksheet!A1048563),MONTH(Worksheet!A1048563),DAY(Worksheet!A1048563)-6))=1,DATE(YEAR(Worksheet!A1048563),MONTH(Worksheet!A1048563),DAY(Worksheet!A1048563)-6+1),IF(DATE(YEAR(Worksheet!A1048563),MONTH(Worksheet!A1048563),DAY(Worksheet!A1048563)-6)=WEEKDAY(DATE(YEAR(Worksheet!A1048563),MONTH(Worksheet!A1048563),DAY(Worksheet!A1048563)-6)),WEEKDAY(DATE(YEAR(Worksheet!A1048563),MONTH(Worksheet!A1048563),DAY(Worksheet!A1048563)-6)),DATE(YEAR(Worksheet!A1048563),MONTH(Worksheet!A1048563),DAY(Worksheet!A1048563)-6))))</definedName>
    <definedName name="SubL" localSheetId="13">'Jun-Jul'!#REF!</definedName>
    <definedName name="SubL">'Jun-Jul'!#REF!</definedName>
    <definedName name="Subs">'Jun-Jul'!$O$6:$O$36</definedName>
    <definedName name="TimeList">Worksheet!$A$8:$A$132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3" i="13" l="1"/>
  <c r="Y53" i="13"/>
  <c r="AB53" i="13"/>
  <c r="AC10" i="13"/>
  <c r="AC24" i="13" s="1"/>
  <c r="Z10" i="13"/>
  <c r="Z11" i="13" s="1"/>
  <c r="W23" i="13"/>
  <c r="Z12" i="13" l="1"/>
  <c r="AA12" i="13" s="1"/>
  <c r="Z25" i="13"/>
  <c r="AB10" i="13"/>
  <c r="Z24" i="13"/>
  <c r="AE10" i="13"/>
  <c r="AC11" i="13"/>
  <c r="AC25" i="13" s="1"/>
  <c r="AA11" i="13"/>
  <c r="N2" i="13"/>
  <c r="Z13" i="13" l="1"/>
  <c r="Z26" i="13"/>
  <c r="AC12" i="13"/>
  <c r="AC26" i="13" s="1"/>
  <c r="AD11" i="13"/>
  <c r="E6" i="13"/>
  <c r="T16" i="13"/>
  <c r="T30" i="13" s="1"/>
  <c r="Z14" i="13" l="1"/>
  <c r="AA14" i="13" s="1"/>
  <c r="Z27" i="13"/>
  <c r="AA13" i="13"/>
  <c r="AC13" i="13"/>
  <c r="AC27" i="13" s="1"/>
  <c r="AD12" i="13"/>
  <c r="E5" i="13"/>
  <c r="E3" i="13"/>
  <c r="Z15" i="13" l="1"/>
  <c r="AA15" i="13" s="1"/>
  <c r="Z28" i="13"/>
  <c r="AC14" i="13"/>
  <c r="AC28" i="13" s="1"/>
  <c r="AD13" i="13"/>
  <c r="AD9" i="13"/>
  <c r="Z16" i="13" l="1"/>
  <c r="AA16" i="13" s="1"/>
  <c r="Z29" i="13"/>
  <c r="AC15" i="13"/>
  <c r="AC29" i="13" s="1"/>
  <c r="AD14" i="13"/>
  <c r="M5" i="16"/>
  <c r="N5" i="16"/>
  <c r="O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D37" i="16"/>
  <c r="E37" i="16"/>
  <c r="F37" i="16"/>
  <c r="G37" i="16"/>
  <c r="H37" i="16"/>
  <c r="I37" i="16"/>
  <c r="J37" i="16"/>
  <c r="K37" i="16"/>
  <c r="Z17" i="13" l="1"/>
  <c r="AA17" i="13" s="1"/>
  <c r="Z30" i="13"/>
  <c r="AC16" i="13"/>
  <c r="AC30" i="13" s="1"/>
  <c r="AD15" i="13"/>
  <c r="M37" i="16"/>
  <c r="AC54" i="13"/>
  <c r="AC55" i="13" s="1"/>
  <c r="AC56" i="13" s="1"/>
  <c r="AC57" i="13" s="1"/>
  <c r="AC58" i="13" s="1"/>
  <c r="AC59" i="13" s="1"/>
  <c r="AC38" i="13"/>
  <c r="AC39" i="13" s="1"/>
  <c r="AC40" i="13" s="1"/>
  <c r="AC41" i="13" s="1"/>
  <c r="AC42" i="13" s="1"/>
  <c r="AC43" i="13" s="1"/>
  <c r="AC44" i="13" s="1"/>
  <c r="AC45" i="13" s="1"/>
  <c r="AC46" i="13" s="1"/>
  <c r="AC47" i="13" s="1"/>
  <c r="AC48" i="13" s="1"/>
  <c r="AC49" i="13" s="1"/>
  <c r="AC50" i="13" s="1"/>
  <c r="AC51" i="13" s="1"/>
  <c r="AC52" i="13" s="1"/>
  <c r="AC53" i="13" s="1"/>
  <c r="AE60" i="13"/>
  <c r="AE37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73" i="13"/>
  <c r="AE74" i="13"/>
  <c r="AE75" i="13"/>
  <c r="AE76" i="13"/>
  <c r="AE77" i="13"/>
  <c r="AE78" i="13"/>
  <c r="AE79" i="13"/>
  <c r="AE80" i="13"/>
  <c r="AE81" i="13"/>
  <c r="AA9" i="13"/>
  <c r="Z18" i="13" l="1"/>
  <c r="AA18" i="13" s="1"/>
  <c r="Z31" i="13"/>
  <c r="AC17" i="13"/>
  <c r="AC31" i="13" s="1"/>
  <c r="AD16" i="13"/>
  <c r="Z19" i="13" l="1"/>
  <c r="AA19" i="13" s="1"/>
  <c r="Z32" i="13"/>
  <c r="AD17" i="13"/>
  <c r="AC18" i="13"/>
  <c r="AC32" i="13" s="1"/>
  <c r="Z20" i="13" l="1"/>
  <c r="AA20" i="13" s="1"/>
  <c r="Z33" i="13"/>
  <c r="AC19" i="13"/>
  <c r="AC33" i="13" s="1"/>
  <c r="AD18" i="13"/>
  <c r="Z21" i="13" l="1"/>
  <c r="AA21" i="13" s="1"/>
  <c r="Z34" i="13"/>
  <c r="AD19" i="13"/>
  <c r="AC20" i="13"/>
  <c r="AC34" i="13" s="1"/>
  <c r="AE59" i="13"/>
  <c r="Z22" i="13" l="1"/>
  <c r="Z36" i="13" s="1"/>
  <c r="Z35" i="13"/>
  <c r="AD20" i="13"/>
  <c r="AC21" i="13"/>
  <c r="AC35" i="13" s="1"/>
  <c r="Z23" i="13" l="1"/>
  <c r="AA22" i="13"/>
  <c r="AC22" i="13"/>
  <c r="AC36" i="13" s="1"/>
  <c r="AD21" i="13"/>
  <c r="AC23" i="13" l="1"/>
  <c r="AE23" i="13" s="1"/>
  <c r="AD22" i="13"/>
  <c r="AE53" i="13" l="1"/>
  <c r="H49" i="30" l="1"/>
  <c r="G49" i="30"/>
  <c r="F49" i="30"/>
  <c r="E49" i="30"/>
  <c r="D49" i="30"/>
  <c r="C49" i="30"/>
  <c r="K37" i="30"/>
  <c r="J37" i="30"/>
  <c r="I37" i="30"/>
  <c r="H37" i="30"/>
  <c r="G37" i="30"/>
  <c r="F37" i="30"/>
  <c r="E37" i="30"/>
  <c r="D37" i="30"/>
  <c r="M36" i="30"/>
  <c r="M35" i="30"/>
  <c r="M34" i="30"/>
  <c r="M33" i="30"/>
  <c r="M32" i="30"/>
  <c r="M31" i="30"/>
  <c r="M30" i="30"/>
  <c r="M29" i="30"/>
  <c r="M28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O5" i="30"/>
  <c r="N5" i="30"/>
  <c r="M5" i="30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7" i="25"/>
  <c r="M8" i="25"/>
  <c r="M9" i="25"/>
  <c r="M10" i="25"/>
  <c r="M11" i="25"/>
  <c r="M12" i="25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6" i="1"/>
  <c r="M6" i="14"/>
  <c r="M6" i="15"/>
  <c r="M6" i="18"/>
  <c r="M6" i="19"/>
  <c r="M6" i="20"/>
  <c r="M6" i="21"/>
  <c r="M6" i="22"/>
  <c r="M6" i="24"/>
  <c r="M6" i="25"/>
  <c r="M6" i="23"/>
  <c r="E37" i="1"/>
  <c r="F37" i="1"/>
  <c r="G37" i="1"/>
  <c r="H37" i="1"/>
  <c r="I37" i="1"/>
  <c r="J37" i="1"/>
  <c r="K37" i="1"/>
  <c r="E37" i="14"/>
  <c r="F37" i="14"/>
  <c r="G37" i="14"/>
  <c r="H37" i="14"/>
  <c r="I37" i="14"/>
  <c r="J37" i="14"/>
  <c r="K37" i="14"/>
  <c r="E37" i="15"/>
  <c r="F37" i="15"/>
  <c r="G37" i="15"/>
  <c r="H37" i="15"/>
  <c r="I37" i="15"/>
  <c r="J37" i="15"/>
  <c r="K37" i="15"/>
  <c r="E37" i="18"/>
  <c r="F37" i="18"/>
  <c r="G37" i="18"/>
  <c r="H37" i="18"/>
  <c r="I37" i="18"/>
  <c r="J37" i="18"/>
  <c r="K37" i="18"/>
  <c r="E37" i="19"/>
  <c r="F37" i="19"/>
  <c r="G37" i="19"/>
  <c r="H37" i="19"/>
  <c r="I37" i="19"/>
  <c r="J37" i="19"/>
  <c r="K37" i="19"/>
  <c r="E37" i="20"/>
  <c r="F37" i="20"/>
  <c r="G37" i="20"/>
  <c r="H37" i="20"/>
  <c r="I37" i="20"/>
  <c r="J37" i="20"/>
  <c r="K37" i="20"/>
  <c r="E37" i="21"/>
  <c r="F37" i="21"/>
  <c r="G37" i="21"/>
  <c r="H37" i="21"/>
  <c r="I37" i="21"/>
  <c r="J37" i="21"/>
  <c r="K37" i="21"/>
  <c r="E37" i="22"/>
  <c r="F37" i="22"/>
  <c r="G37" i="22"/>
  <c r="H37" i="22"/>
  <c r="I37" i="22"/>
  <c r="J37" i="22"/>
  <c r="K37" i="22"/>
  <c r="E37" i="24"/>
  <c r="F37" i="24"/>
  <c r="G37" i="24"/>
  <c r="H37" i="24"/>
  <c r="I37" i="24"/>
  <c r="J37" i="24"/>
  <c r="K37" i="24"/>
  <c r="E37" i="25"/>
  <c r="F37" i="25"/>
  <c r="G37" i="25"/>
  <c r="H37" i="25"/>
  <c r="I37" i="25"/>
  <c r="J37" i="25"/>
  <c r="K37" i="25"/>
  <c r="E37" i="23"/>
  <c r="F37" i="23"/>
  <c r="G37" i="23"/>
  <c r="H37" i="23"/>
  <c r="I37" i="23"/>
  <c r="J37" i="23"/>
  <c r="K37" i="23"/>
  <c r="D37" i="1"/>
  <c r="D37" i="14"/>
  <c r="D37" i="15"/>
  <c r="M38" i="16"/>
  <c r="D37" i="18"/>
  <c r="D37" i="19"/>
  <c r="M38" i="19" s="1"/>
  <c r="D37" i="20"/>
  <c r="M38" i="20" s="1"/>
  <c r="D37" i="21"/>
  <c r="M38" i="21" s="1"/>
  <c r="D37" i="22"/>
  <c r="M38" i="22" s="1"/>
  <c r="D37" i="24"/>
  <c r="D37" i="25"/>
  <c r="M38" i="25" s="1"/>
  <c r="D37" i="23"/>
  <c r="AB60" i="13"/>
  <c r="Y60" i="13"/>
  <c r="Y61" i="13"/>
  <c r="V60" i="13"/>
  <c r="V61" i="13"/>
  <c r="B35" i="22"/>
  <c r="Z54" i="13"/>
  <c r="Z38" i="13"/>
  <c r="Z39" i="13" s="1"/>
  <c r="Z40" i="13" s="1"/>
  <c r="Z41" i="13" s="1"/>
  <c r="Z42" i="13" s="1"/>
  <c r="Z43" i="13" s="1"/>
  <c r="Z44" i="13" s="1"/>
  <c r="Z45" i="13" s="1"/>
  <c r="Z46" i="13" s="1"/>
  <c r="Z47" i="13" s="1"/>
  <c r="Z48" i="13" s="1"/>
  <c r="Z49" i="13" s="1"/>
  <c r="Z50" i="13" s="1"/>
  <c r="Z51" i="13" s="1"/>
  <c r="Z52" i="13" s="1"/>
  <c r="Z53" i="13" s="1"/>
  <c r="W54" i="13"/>
  <c r="W38" i="13"/>
  <c r="T54" i="13"/>
  <c r="T55" i="13" s="1"/>
  <c r="H18" i="13"/>
  <c r="I18" i="13"/>
  <c r="J18" i="13"/>
  <c r="D19" i="13" s="1"/>
  <c r="AH55" i="13" s="1"/>
  <c r="AH56" i="13" s="1"/>
  <c r="Q56" i="13" s="1"/>
  <c r="G18" i="13"/>
  <c r="V37" i="13"/>
  <c r="T38" i="13"/>
  <c r="T39" i="13" s="1"/>
  <c r="Q38" i="13"/>
  <c r="H16" i="13"/>
  <c r="D17" i="13" s="1"/>
  <c r="AH39" i="13" s="1"/>
  <c r="I16" i="13"/>
  <c r="J16" i="13"/>
  <c r="G16" i="13"/>
  <c r="M38" i="23" l="1"/>
  <c r="M38" i="24"/>
  <c r="M38" i="14"/>
  <c r="M37" i="21"/>
  <c r="M38" i="18"/>
  <c r="M38" i="15"/>
  <c r="M38" i="1"/>
  <c r="M37" i="20"/>
  <c r="M37" i="19"/>
  <c r="M37" i="18"/>
  <c r="M37" i="15"/>
  <c r="M37" i="1"/>
  <c r="M37" i="14"/>
  <c r="W55" i="13"/>
  <c r="W56" i="13" s="1"/>
  <c r="W57" i="13" s="1"/>
  <c r="W58" i="13" s="1"/>
  <c r="W59" i="13" s="1"/>
  <c r="Y59" i="13" s="1"/>
  <c r="M38" i="30"/>
  <c r="M37" i="30"/>
  <c r="D59" i="30"/>
  <c r="M37" i="23"/>
  <c r="M37" i="25"/>
  <c r="M37" i="24"/>
  <c r="M37" i="22"/>
  <c r="T56" i="13"/>
  <c r="W39" i="13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Q55" i="13"/>
  <c r="Z55" i="13"/>
  <c r="Z56" i="13" s="1"/>
  <c r="Z57" i="13" s="1"/>
  <c r="Z58" i="13" s="1"/>
  <c r="Z59" i="13" s="1"/>
  <c r="AB59" i="13" s="1"/>
  <c r="T40" i="13"/>
  <c r="AH57" i="13"/>
  <c r="Q57" i="13" s="1"/>
  <c r="AH40" i="13"/>
  <c r="Q39" i="13"/>
  <c r="C49" i="14"/>
  <c r="C49" i="15"/>
  <c r="C49" i="16"/>
  <c r="C49" i="18"/>
  <c r="C49" i="19"/>
  <c r="C49" i="20"/>
  <c r="C49" i="21"/>
  <c r="C49" i="22"/>
  <c r="C49" i="24"/>
  <c r="C49" i="25"/>
  <c r="C49" i="23"/>
  <c r="C49" i="27"/>
  <c r="T57" i="13" l="1"/>
  <c r="AH58" i="13"/>
  <c r="Q58" i="13" s="1"/>
  <c r="T41" i="13"/>
  <c r="AH41" i="13"/>
  <c r="Q40" i="13"/>
  <c r="T58" i="13" l="1"/>
  <c r="T42" i="13"/>
  <c r="AH59" i="13"/>
  <c r="AH42" i="13"/>
  <c r="Q41" i="13"/>
  <c r="T59" i="13" l="1"/>
  <c r="V59" i="13" s="1"/>
  <c r="AH60" i="13"/>
  <c r="T43" i="13"/>
  <c r="AH43" i="13"/>
  <c r="Q42" i="13"/>
  <c r="AV1" i="29"/>
  <c r="T44" i="13" l="1"/>
  <c r="AH61" i="13"/>
  <c r="Q59" i="13"/>
  <c r="AH44" i="13"/>
  <c r="Q43" i="13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AH62" i="13" l="1"/>
  <c r="AH63" i="13" s="1"/>
  <c r="T45" i="13"/>
  <c r="AH45" i="13"/>
  <c r="Q44" i="13"/>
  <c r="B1" i="29"/>
  <c r="C1" i="29" s="1"/>
  <c r="D1" i="29" s="1"/>
  <c r="E1" i="29" s="1"/>
  <c r="F1" i="29" s="1"/>
  <c r="G1" i="29" s="1"/>
  <c r="H1" i="29" s="1"/>
  <c r="I1" i="29" s="1"/>
  <c r="J1" i="29" s="1"/>
  <c r="A14" i="29"/>
  <c r="A15" i="29"/>
  <c r="P24" i="29"/>
  <c r="P25" i="29"/>
  <c r="AA19" i="29"/>
  <c r="AA20" i="29"/>
  <c r="AA21" i="29"/>
  <c r="P26" i="29"/>
  <c r="AA22" i="29"/>
  <c r="P27" i="29"/>
  <c r="AA23" i="29"/>
  <c r="AA24" i="29"/>
  <c r="AA25" i="29"/>
  <c r="AA26" i="29"/>
  <c r="AA27" i="29"/>
  <c r="AL27" i="29"/>
  <c r="P28" i="29"/>
  <c r="AA28" i="29"/>
  <c r="AL28" i="29"/>
  <c r="P29" i="29"/>
  <c r="AA29" i="29"/>
  <c r="AL29" i="29"/>
  <c r="P30" i="29"/>
  <c r="AA30" i="29"/>
  <c r="AL30" i="29"/>
  <c r="P31" i="29"/>
  <c r="AA31" i="29"/>
  <c r="AL31" i="29"/>
  <c r="P32" i="29"/>
  <c r="AA32" i="29"/>
  <c r="AL32" i="29"/>
  <c r="P33" i="29"/>
  <c r="AA33" i="29"/>
  <c r="AL33" i="29"/>
  <c r="P34" i="29"/>
  <c r="AA34" i="29"/>
  <c r="AL34" i="29"/>
  <c r="P35" i="29"/>
  <c r="AA35" i="29"/>
  <c r="AL35" i="29"/>
  <c r="P36" i="29"/>
  <c r="AA36" i="29"/>
  <c r="AL36" i="29"/>
  <c r="P37" i="29"/>
  <c r="AA37" i="29"/>
  <c r="AL37" i="29"/>
  <c r="P38" i="29"/>
  <c r="AA38" i="29"/>
  <c r="AL38" i="29"/>
  <c r="P39" i="29"/>
  <c r="AA39" i="29"/>
  <c r="AL39" i="29"/>
  <c r="P40" i="29"/>
  <c r="AA40" i="29"/>
  <c r="AL40" i="29"/>
  <c r="P41" i="29"/>
  <c r="AA41" i="29"/>
  <c r="AL41" i="29"/>
  <c r="P42" i="29"/>
  <c r="AA42" i="29"/>
  <c r="AL42" i="29"/>
  <c r="P43" i="29"/>
  <c r="AA43" i="29"/>
  <c r="AL43" i="29"/>
  <c r="P44" i="29"/>
  <c r="AA44" i="29"/>
  <c r="AL44" i="29"/>
  <c r="P45" i="29"/>
  <c r="AA45" i="29"/>
  <c r="AL45" i="29"/>
  <c r="P46" i="29"/>
  <c r="AA46" i="29"/>
  <c r="AL46" i="29"/>
  <c r="P47" i="29"/>
  <c r="AA47" i="29"/>
  <c r="AL47" i="29"/>
  <c r="P48" i="29"/>
  <c r="AA48" i="29"/>
  <c r="AL48" i="29"/>
  <c r="P49" i="29"/>
  <c r="AA49" i="29"/>
  <c r="AL49" i="29"/>
  <c r="P50" i="29"/>
  <c r="AA50" i="29"/>
  <c r="AL50" i="29"/>
  <c r="P51" i="29"/>
  <c r="AA51" i="29"/>
  <c r="AL51" i="29"/>
  <c r="P52" i="29"/>
  <c r="AA52" i="29"/>
  <c r="AL52" i="29"/>
  <c r="P53" i="29"/>
  <c r="AA53" i="29"/>
  <c r="AL53" i="29"/>
  <c r="P54" i="29"/>
  <c r="AA54" i="29"/>
  <c r="AL54" i="29"/>
  <c r="P55" i="29"/>
  <c r="AA55" i="29"/>
  <c r="AL55" i="29"/>
  <c r="P56" i="29"/>
  <c r="AA56" i="29"/>
  <c r="AL56" i="29"/>
  <c r="P57" i="29"/>
  <c r="AA57" i="29"/>
  <c r="AL57" i="29"/>
  <c r="P58" i="29"/>
  <c r="AA58" i="29"/>
  <c r="AL58" i="29"/>
  <c r="P59" i="29"/>
  <c r="AA59" i="29"/>
  <c r="AL59" i="29"/>
  <c r="P60" i="29"/>
  <c r="AA60" i="29"/>
  <c r="AL60" i="29"/>
  <c r="P61" i="29"/>
  <c r="AA61" i="29"/>
  <c r="AL61" i="29"/>
  <c r="P62" i="29"/>
  <c r="AA62" i="29"/>
  <c r="AL62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81" i="29"/>
  <c r="B82" i="29"/>
  <c r="B83" i="29"/>
  <c r="B84" i="29"/>
  <c r="B85" i="29"/>
  <c r="B86" i="29"/>
  <c r="B87" i="29"/>
  <c r="B88" i="29"/>
  <c r="B89" i="29"/>
  <c r="B90" i="29"/>
  <c r="T46" i="13" l="1"/>
  <c r="AH46" i="13"/>
  <c r="Q45" i="13"/>
  <c r="D53" i="29"/>
  <c r="D49" i="29"/>
  <c r="D57" i="29"/>
  <c r="D36" i="29"/>
  <c r="D61" i="29"/>
  <c r="D54" i="29"/>
  <c r="D45" i="29"/>
  <c r="D40" i="29"/>
  <c r="AF4" i="29"/>
  <c r="AF5" i="29" s="1"/>
  <c r="D52" i="29"/>
  <c r="D48" i="29"/>
  <c r="D44" i="29"/>
  <c r="D56" i="29"/>
  <c r="E65" i="29" a="1"/>
  <c r="E65" i="29" s="1"/>
  <c r="E68" i="29" s="1" a="1"/>
  <c r="E68" i="29" s="1"/>
  <c r="D51" i="29"/>
  <c r="D47" i="29"/>
  <c r="D34" i="29"/>
  <c r="D38" i="29"/>
  <c r="D55" i="29"/>
  <c r="D42" i="29"/>
  <c r="D62" i="29"/>
  <c r="D46" i="29"/>
  <c r="D37" i="29"/>
  <c r="D50" i="29"/>
  <c r="AQ4" i="29" a="1"/>
  <c r="AQ4" i="29" s="1"/>
  <c r="D58" i="29"/>
  <c r="J4" i="29"/>
  <c r="D59" i="29"/>
  <c r="U4" i="29"/>
  <c r="D60" i="29"/>
  <c r="K1" i="29"/>
  <c r="L1" i="29" s="1"/>
  <c r="M1" i="29" s="1"/>
  <c r="N1" i="29" s="1"/>
  <c r="O1" i="29" s="1"/>
  <c r="P1" i="29" s="1"/>
  <c r="Q1" i="29" s="1"/>
  <c r="R1" i="29" s="1"/>
  <c r="S1" i="29" s="1"/>
  <c r="T1" i="29" s="1"/>
  <c r="U1" i="29" s="1"/>
  <c r="D41" i="29"/>
  <c r="D35" i="29"/>
  <c r="D39" i="29"/>
  <c r="D43" i="29"/>
  <c r="T47" i="13" l="1"/>
  <c r="AH47" i="13"/>
  <c r="Q46" i="13"/>
  <c r="E72" i="29" a="1"/>
  <c r="E72" i="29" s="1"/>
  <c r="E71" i="29" a="1"/>
  <c r="E71" i="29" s="1"/>
  <c r="K4" i="29"/>
  <c r="AV4" i="29"/>
  <c r="AW4" i="29"/>
  <c r="AX4" i="29"/>
  <c r="E76" i="29" a="1"/>
  <c r="E76" i="29" s="1"/>
  <c r="E73" i="29" a="1"/>
  <c r="E73" i="29" s="1"/>
  <c r="E67" i="29" a="1"/>
  <c r="E67" i="29" s="1"/>
  <c r="E77" i="29" a="1"/>
  <c r="E77" i="29" s="1"/>
  <c r="E69" i="29" a="1"/>
  <c r="E69" i="29" s="1"/>
  <c r="E70" i="29" a="1"/>
  <c r="E70" i="29" s="1"/>
  <c r="E75" i="29" a="1"/>
  <c r="E75" i="29" s="1"/>
  <c r="E74" i="29" a="1"/>
  <c r="E74" i="29" s="1"/>
  <c r="E66" i="29" a="1"/>
  <c r="E66" i="29" s="1"/>
  <c r="B11" i="29" s="1" a="1"/>
  <c r="B11" i="29" s="1"/>
  <c r="B7" i="29" s="1" a="1"/>
  <c r="B7" i="29" s="1"/>
  <c r="N4" i="29"/>
  <c r="U5" i="29"/>
  <c r="V5" i="29" s="1"/>
  <c r="J5" i="29"/>
  <c r="L4" i="29"/>
  <c r="AQ5" i="29" a="1"/>
  <c r="AQ5" i="29" s="1"/>
  <c r="V1" i="29"/>
  <c r="W1" i="29" s="1"/>
  <c r="X1" i="29" s="1"/>
  <c r="Y1" i="29" s="1"/>
  <c r="Z1" i="29" s="1"/>
  <c r="AA1" i="29" s="1"/>
  <c r="AB1" i="29" s="1"/>
  <c r="AC1" i="29" s="1"/>
  <c r="AD1" i="29" s="1"/>
  <c r="AE1" i="29" s="1"/>
  <c r="AF1" i="29" s="1"/>
  <c r="W4" i="29"/>
  <c r="X4" i="29"/>
  <c r="Y4" i="29"/>
  <c r="M4" i="29"/>
  <c r="AF6" i="29"/>
  <c r="T48" i="13" l="1"/>
  <c r="AH48" i="13"/>
  <c r="Q47" i="13"/>
  <c r="F49" i="20"/>
  <c r="F49" i="24"/>
  <c r="F49" i="23"/>
  <c r="F49" i="21"/>
  <c r="F49" i="15"/>
  <c r="F49" i="18"/>
  <c r="F49" i="22"/>
  <c r="F49" i="1"/>
  <c r="F49" i="25"/>
  <c r="F49" i="14"/>
  <c r="F49" i="19"/>
  <c r="F49" i="27"/>
  <c r="F49" i="16"/>
  <c r="AW5" i="29"/>
  <c r="AX5" i="29"/>
  <c r="AQ6" i="29" a="1"/>
  <c r="AQ6" i="29" s="1"/>
  <c r="AQ7" i="29" s="1" a="1"/>
  <c r="AQ7" i="29" s="1"/>
  <c r="AV5" i="29"/>
  <c r="U6" i="29"/>
  <c r="X6" i="29" s="1"/>
  <c r="B8" i="29" a="1"/>
  <c r="B8" i="29" s="1"/>
  <c r="V4" i="29"/>
  <c r="B4" i="29" a="1"/>
  <c r="B4" i="29" s="1"/>
  <c r="Y5" i="29"/>
  <c r="X5" i="29"/>
  <c r="B5" i="29" a="1"/>
  <c r="B5" i="29" s="1"/>
  <c r="W5" i="29"/>
  <c r="B6" i="29" a="1"/>
  <c r="B6" i="29" s="1"/>
  <c r="N5" i="29"/>
  <c r="M5" i="29"/>
  <c r="L5" i="29"/>
  <c r="K5" i="29"/>
  <c r="J6" i="29"/>
  <c r="AH4" i="29"/>
  <c r="AI4" i="29"/>
  <c r="AJ4" i="29"/>
  <c r="AH6" i="29"/>
  <c r="AI6" i="29"/>
  <c r="AJ6" i="29"/>
  <c r="AH5" i="29"/>
  <c r="AI5" i="29"/>
  <c r="AG1" i="29"/>
  <c r="AH1" i="29" s="1"/>
  <c r="AI1" i="29" s="1"/>
  <c r="AJ1" i="29" s="1"/>
  <c r="AK1" i="29" s="1"/>
  <c r="AL1" i="29" s="1"/>
  <c r="AM1" i="29" s="1"/>
  <c r="AN1" i="29" s="1"/>
  <c r="AO1" i="29" s="1"/>
  <c r="AP1" i="29" s="1"/>
  <c r="AQ1" i="29" s="1"/>
  <c r="AJ5" i="29"/>
  <c r="AF7" i="29"/>
  <c r="AF8" i="29" s="1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6" i="27"/>
  <c r="T49" i="13" l="1"/>
  <c r="AH49" i="13"/>
  <c r="Q48" i="13"/>
  <c r="E49" i="27"/>
  <c r="E49" i="14"/>
  <c r="E49" i="1"/>
  <c r="AV6" i="29"/>
  <c r="AW6" i="29"/>
  <c r="AX6" i="29"/>
  <c r="U7" i="29"/>
  <c r="Y7" i="29" s="1"/>
  <c r="AV7" i="29"/>
  <c r="AW7" i="29"/>
  <c r="AX7" i="29"/>
  <c r="Y6" i="29"/>
  <c r="M37" i="27"/>
  <c r="AG5" i="29"/>
  <c r="V6" i="29"/>
  <c r="AG6" i="29"/>
  <c r="W6" i="29"/>
  <c r="AI8" i="29"/>
  <c r="AQ8" i="29" a="1"/>
  <c r="AQ8" i="29" s="1"/>
  <c r="N6" i="29"/>
  <c r="K6" i="29"/>
  <c r="L6" i="29"/>
  <c r="M6" i="29"/>
  <c r="AJ8" i="29"/>
  <c r="AI7" i="29"/>
  <c r="AG8" i="29"/>
  <c r="AF9" i="29"/>
  <c r="AJ7" i="29"/>
  <c r="AG4" i="29"/>
  <c r="AH8" i="29"/>
  <c r="AG7" i="29"/>
  <c r="J7" i="29"/>
  <c r="AH7" i="29"/>
  <c r="AS6" i="29"/>
  <c r="AT6" i="29"/>
  <c r="AU6" i="29"/>
  <c r="AT5" i="29"/>
  <c r="AU5" i="29"/>
  <c r="AS4" i="29"/>
  <c r="AT4" i="29"/>
  <c r="AR1" i="29"/>
  <c r="AS1" i="29" s="1"/>
  <c r="AT1" i="29" s="1"/>
  <c r="AU1" i="29" s="1"/>
  <c r="AU4" i="29"/>
  <c r="AS7" i="29"/>
  <c r="AT7" i="29"/>
  <c r="AU7" i="29"/>
  <c r="AR6" i="29"/>
  <c r="T50" i="13" l="1"/>
  <c r="AH50" i="13"/>
  <c r="Q49" i="13"/>
  <c r="X7" i="29"/>
  <c r="AW8" i="29"/>
  <c r="AX8" i="29"/>
  <c r="U8" i="29"/>
  <c r="U9" i="29" s="1"/>
  <c r="X9" i="29" s="1"/>
  <c r="W7" i="29"/>
  <c r="V7" i="29"/>
  <c r="AU8" i="29"/>
  <c r="AV8" i="29"/>
  <c r="AR7" i="29"/>
  <c r="AR4" i="29"/>
  <c r="AS5" i="29"/>
  <c r="AH9" i="29"/>
  <c r="AG9" i="29"/>
  <c r="AJ9" i="29"/>
  <c r="AI9" i="29"/>
  <c r="K7" i="29"/>
  <c r="L7" i="29"/>
  <c r="N7" i="29"/>
  <c r="M7" i="29"/>
  <c r="AS8" i="29"/>
  <c r="AR5" i="29"/>
  <c r="AQ9" i="29" a="1"/>
  <c r="AQ9" i="29" s="1"/>
  <c r="AT8" i="29"/>
  <c r="AF10" i="29"/>
  <c r="AF11" i="29" s="1"/>
  <c r="AF12" i="29" s="1"/>
  <c r="AR8" i="29"/>
  <c r="J8" i="29"/>
  <c r="O37" i="27"/>
  <c r="N37" i="27"/>
  <c r="K37" i="27"/>
  <c r="J37" i="27"/>
  <c r="I37" i="27"/>
  <c r="H37" i="27"/>
  <c r="G37" i="27"/>
  <c r="F37" i="27"/>
  <c r="E37" i="27"/>
  <c r="D37" i="27"/>
  <c r="D59" i="27" s="1"/>
  <c r="O5" i="27"/>
  <c r="N5" i="27"/>
  <c r="M5" i="27"/>
  <c r="T51" i="13" l="1"/>
  <c r="AH51" i="13"/>
  <c r="Q50" i="13"/>
  <c r="V9" i="29"/>
  <c r="V8" i="29"/>
  <c r="W8" i="29"/>
  <c r="Y8" i="29"/>
  <c r="W9" i="29"/>
  <c r="AV9" i="29"/>
  <c r="AX9" i="29"/>
  <c r="AW9" i="29"/>
  <c r="X8" i="29"/>
  <c r="Y9" i="29"/>
  <c r="U10" i="29"/>
  <c r="U11" i="29" s="1"/>
  <c r="Y11" i="29" s="1"/>
  <c r="AH12" i="29"/>
  <c r="AJ12" i="29"/>
  <c r="AG12" i="29"/>
  <c r="AI12" i="29"/>
  <c r="AQ10" i="29" a="1"/>
  <c r="AQ10" i="29" s="1"/>
  <c r="M8" i="29"/>
  <c r="L8" i="29"/>
  <c r="K8" i="29"/>
  <c r="N8" i="29"/>
  <c r="J9" i="29"/>
  <c r="AU9" i="29"/>
  <c r="AR9" i="29"/>
  <c r="AS9" i="29"/>
  <c r="AT9" i="29"/>
  <c r="AI10" i="29"/>
  <c r="AH10" i="29"/>
  <c r="AG10" i="29"/>
  <c r="AJ10" i="29"/>
  <c r="AF13" i="29"/>
  <c r="AJ11" i="29"/>
  <c r="AG11" i="29"/>
  <c r="AI11" i="29"/>
  <c r="AH11" i="29"/>
  <c r="AB37" i="13"/>
  <c r="T52" i="13" l="1"/>
  <c r="AH52" i="13"/>
  <c r="Q51" i="13"/>
  <c r="AV10" i="29"/>
  <c r="AW10" i="29"/>
  <c r="AX10" i="29"/>
  <c r="V10" i="29"/>
  <c r="Y10" i="29"/>
  <c r="W10" i="29"/>
  <c r="U12" i="29"/>
  <c r="W12" i="29" s="1"/>
  <c r="X11" i="29"/>
  <c r="V11" i="29"/>
  <c r="W11" i="29"/>
  <c r="X10" i="29"/>
  <c r="AI13" i="29"/>
  <c r="AJ13" i="29"/>
  <c r="AH13" i="29"/>
  <c r="AG13" i="29"/>
  <c r="AF14" i="29"/>
  <c r="J10" i="29"/>
  <c r="AU10" i="29"/>
  <c r="AS10" i="29"/>
  <c r="AR10" i="29"/>
  <c r="AT10" i="29"/>
  <c r="AQ11" i="29" a="1"/>
  <c r="AQ11" i="29" s="1"/>
  <c r="N9" i="29"/>
  <c r="M9" i="29"/>
  <c r="K9" i="29"/>
  <c r="L9" i="29"/>
  <c r="T53" i="13" l="1"/>
  <c r="AH53" i="13"/>
  <c r="Q52" i="13"/>
  <c r="U13" i="29"/>
  <c r="X13" i="29" s="1"/>
  <c r="AV11" i="29"/>
  <c r="AW11" i="29"/>
  <c r="AX11" i="29"/>
  <c r="X12" i="29"/>
  <c r="Y12" i="29"/>
  <c r="V12" i="29"/>
  <c r="AQ12" i="29" a="1"/>
  <c r="AQ12" i="29" s="1"/>
  <c r="M10" i="29"/>
  <c r="N10" i="29"/>
  <c r="L10" i="29"/>
  <c r="K10" i="29"/>
  <c r="J11" i="29"/>
  <c r="AI14" i="29"/>
  <c r="AH14" i="29"/>
  <c r="AJ14" i="29"/>
  <c r="AG14" i="29"/>
  <c r="AF15" i="29"/>
  <c r="AR11" i="29"/>
  <c r="AT11" i="29"/>
  <c r="AS11" i="29"/>
  <c r="AU11" i="29"/>
  <c r="D59" i="15"/>
  <c r="D59" i="23"/>
  <c r="D59" i="19"/>
  <c r="D59" i="20"/>
  <c r="D59" i="18"/>
  <c r="D59" i="16"/>
  <c r="D59" i="25"/>
  <c r="D59" i="21"/>
  <c r="D59" i="24"/>
  <c r="D59" i="22"/>
  <c r="Q53" i="13" l="1"/>
  <c r="U14" i="29"/>
  <c r="X14" i="29" s="1"/>
  <c r="AV12" i="29"/>
  <c r="AW12" i="29"/>
  <c r="AX12" i="29"/>
  <c r="Y13" i="29"/>
  <c r="W13" i="29"/>
  <c r="V13" i="29"/>
  <c r="AU12" i="29"/>
  <c r="AR12" i="29"/>
  <c r="AT12" i="29"/>
  <c r="AS12" i="29"/>
  <c r="AQ13" i="29" a="1"/>
  <c r="AQ13" i="29" s="1"/>
  <c r="AI15" i="29"/>
  <c r="AJ15" i="29"/>
  <c r="AH15" i="29"/>
  <c r="AG15" i="29"/>
  <c r="AF16" i="29"/>
  <c r="K11" i="29"/>
  <c r="N11" i="29"/>
  <c r="M11" i="29"/>
  <c r="L11" i="29"/>
  <c r="J12" i="29"/>
  <c r="V14" i="29" l="1"/>
  <c r="U15" i="29"/>
  <c r="Y15" i="29" s="1"/>
  <c r="W14" i="29"/>
  <c r="Y14" i="29"/>
  <c r="AV13" i="29"/>
  <c r="AW13" i="29"/>
  <c r="AX13" i="29"/>
  <c r="AH16" i="29"/>
  <c r="AJ16" i="29"/>
  <c r="AG16" i="29"/>
  <c r="AI16" i="29"/>
  <c r="AF17" i="29"/>
  <c r="AT13" i="29"/>
  <c r="AU13" i="29"/>
  <c r="AS13" i="29"/>
  <c r="AR13" i="29"/>
  <c r="AQ14" i="29" a="1"/>
  <c r="AQ14" i="29" s="1"/>
  <c r="K12" i="29"/>
  <c r="N12" i="29"/>
  <c r="M12" i="29"/>
  <c r="L12" i="29"/>
  <c r="J13" i="29"/>
  <c r="U16" i="29" l="1"/>
  <c r="W16" i="29" s="1"/>
  <c r="W15" i="29"/>
  <c r="X15" i="29"/>
  <c r="V15" i="29"/>
  <c r="AV14" i="29"/>
  <c r="AW14" i="29"/>
  <c r="AX14" i="29"/>
  <c r="AT14" i="29"/>
  <c r="AU14" i="29"/>
  <c r="AS14" i="29"/>
  <c r="AR14" i="29"/>
  <c r="AQ15" i="29" a="1"/>
  <c r="AQ15" i="29" s="1"/>
  <c r="N13" i="29"/>
  <c r="M13" i="29"/>
  <c r="K13" i="29"/>
  <c r="L13" i="29"/>
  <c r="J14" i="29"/>
  <c r="AH17" i="29"/>
  <c r="AJ17" i="29"/>
  <c r="AG17" i="29"/>
  <c r="AI17" i="29"/>
  <c r="AF18" i="29"/>
  <c r="AF19" i="29" l="1"/>
  <c r="AF20" i="29"/>
  <c r="U17" i="29"/>
  <c r="Y17" i="29" s="1"/>
  <c r="Y16" i="29"/>
  <c r="V16" i="29"/>
  <c r="X16" i="29"/>
  <c r="AV15" i="29"/>
  <c r="AX15" i="29"/>
  <c r="AW15" i="29"/>
  <c r="AR15" i="29"/>
  <c r="AT15" i="29"/>
  <c r="AS15" i="29"/>
  <c r="AU15" i="29"/>
  <c r="AQ16" i="29" a="1"/>
  <c r="AQ16" i="29" s="1"/>
  <c r="K14" i="29"/>
  <c r="N14" i="29"/>
  <c r="L14" i="29"/>
  <c r="M14" i="29"/>
  <c r="J15" i="29"/>
  <c r="AH18" i="29"/>
  <c r="AG18" i="29"/>
  <c r="AJ18" i="29"/>
  <c r="AI18" i="29"/>
  <c r="D59" i="14"/>
  <c r="D59" i="1"/>
  <c r="AF21" i="29" l="1"/>
  <c r="AI19" i="29"/>
  <c r="AH19" i="29"/>
  <c r="AJ19" i="29"/>
  <c r="AG19" i="29"/>
  <c r="AH20" i="29"/>
  <c r="AG20" i="29"/>
  <c r="AI20" i="29"/>
  <c r="AJ20" i="29"/>
  <c r="V17" i="29"/>
  <c r="X17" i="29"/>
  <c r="U18" i="29"/>
  <c r="Y18" i="29" s="1"/>
  <c r="W17" i="29"/>
  <c r="AV16" i="29"/>
  <c r="AW16" i="29"/>
  <c r="AX16" i="29"/>
  <c r="AS16" i="29"/>
  <c r="AU16" i="29"/>
  <c r="AT16" i="29"/>
  <c r="AR16" i="29"/>
  <c r="AQ17" i="29" a="1"/>
  <c r="AQ17" i="29" s="1"/>
  <c r="N15" i="29"/>
  <c r="M15" i="29"/>
  <c r="L15" i="29"/>
  <c r="K15" i="29"/>
  <c r="J16" i="29"/>
  <c r="AF22" i="29" l="1"/>
  <c r="AH21" i="29"/>
  <c r="AJ21" i="29"/>
  <c r="AG21" i="29"/>
  <c r="AI21" i="29"/>
  <c r="U19" i="29"/>
  <c r="W19" i="29" s="1"/>
  <c r="V18" i="29"/>
  <c r="W18" i="29"/>
  <c r="X18" i="29"/>
  <c r="AV17" i="29"/>
  <c r="AW17" i="29"/>
  <c r="AX17" i="29"/>
  <c r="AT17" i="29"/>
  <c r="AS17" i="29"/>
  <c r="AU17" i="29"/>
  <c r="AR17" i="29"/>
  <c r="AQ18" i="29" a="1"/>
  <c r="AQ18" i="29" s="1"/>
  <c r="K16" i="29"/>
  <c r="L16" i="29"/>
  <c r="N16" i="29"/>
  <c r="M16" i="29"/>
  <c r="J17" i="29"/>
  <c r="Y37" i="13"/>
  <c r="AF23" i="29" l="1"/>
  <c r="AI22" i="29"/>
  <c r="AJ22" i="29"/>
  <c r="AH22" i="29"/>
  <c r="AG22" i="29"/>
  <c r="Y19" i="29"/>
  <c r="V19" i="29"/>
  <c r="U20" i="29"/>
  <c r="W20" i="29" s="1"/>
  <c r="X19" i="29"/>
  <c r="AV18" i="29"/>
  <c r="AW18" i="29"/>
  <c r="AX18" i="29"/>
  <c r="AT18" i="29"/>
  <c r="AS18" i="29"/>
  <c r="AU18" i="29"/>
  <c r="AR18" i="29"/>
  <c r="AQ19" i="29" a="1"/>
  <c r="AQ19" i="29" s="1"/>
  <c r="N17" i="29"/>
  <c r="L17" i="29"/>
  <c r="K17" i="29"/>
  <c r="M17" i="29"/>
  <c r="J18" i="29"/>
  <c r="AG23" i="29" l="1"/>
  <c r="AI23" i="29"/>
  <c r="AH23" i="29"/>
  <c r="AJ23" i="29"/>
  <c r="AF24" i="29"/>
  <c r="U21" i="29"/>
  <c r="V21" i="29" s="1"/>
  <c r="X20" i="29"/>
  <c r="Y20" i="29"/>
  <c r="V20" i="29"/>
  <c r="AV19" i="29"/>
  <c r="AW19" i="29"/>
  <c r="AX19" i="29"/>
  <c r="M18" i="29"/>
  <c r="N18" i="29"/>
  <c r="K18" i="29"/>
  <c r="L18" i="29"/>
  <c r="J19" i="29"/>
  <c r="AR19" i="29"/>
  <c r="AT19" i="29"/>
  <c r="AS19" i="29"/>
  <c r="AU19" i="29"/>
  <c r="AQ20" i="29" a="1"/>
  <c r="AQ20" i="29" s="1"/>
  <c r="AJ24" i="29" l="1"/>
  <c r="AH24" i="29"/>
  <c r="AI24" i="29"/>
  <c r="AG24" i="29"/>
  <c r="AF25" i="29"/>
  <c r="AF26" i="29"/>
  <c r="U22" i="29"/>
  <c r="X22" i="29" s="1"/>
  <c r="Y21" i="29"/>
  <c r="X21" i="29"/>
  <c r="W21" i="29"/>
  <c r="AV20" i="29"/>
  <c r="AW20" i="29"/>
  <c r="AX20" i="29"/>
  <c r="AT20" i="29"/>
  <c r="AS20" i="29"/>
  <c r="AU20" i="29"/>
  <c r="AR20" i="29"/>
  <c r="AQ21" i="29" a="1"/>
  <c r="AQ21" i="29" s="1"/>
  <c r="N19" i="29"/>
  <c r="M19" i="29"/>
  <c r="K19" i="29"/>
  <c r="L19" i="29"/>
  <c r="J20" i="29"/>
  <c r="O42" i="13"/>
  <c r="V16" i="13"/>
  <c r="AH25" i="29" l="1"/>
  <c r="AG25" i="29"/>
  <c r="AI25" i="29"/>
  <c r="AJ25" i="29"/>
  <c r="AG26" i="29"/>
  <c r="AJ26" i="29"/>
  <c r="AI26" i="29"/>
  <c r="AH26" i="29"/>
  <c r="AF27" i="29"/>
  <c r="Y22" i="29"/>
  <c r="V22" i="29"/>
  <c r="U23" i="29"/>
  <c r="X23" i="29" s="1"/>
  <c r="W22" i="29"/>
  <c r="AV21" i="29"/>
  <c r="AW21" i="29"/>
  <c r="AX21" i="29"/>
  <c r="K20" i="29"/>
  <c r="M20" i="29"/>
  <c r="L20" i="29"/>
  <c r="N20" i="29"/>
  <c r="J21" i="29"/>
  <c r="AT21" i="29"/>
  <c r="AR21" i="29"/>
  <c r="AS21" i="29"/>
  <c r="AU21" i="29"/>
  <c r="AQ22" i="29" a="1"/>
  <c r="AQ22" i="29" s="1"/>
  <c r="AI27" i="29" l="1"/>
  <c r="AH27" i="29"/>
  <c r="AG27" i="29"/>
  <c r="AJ27" i="29"/>
  <c r="AF28" i="29"/>
  <c r="Y23" i="29"/>
  <c r="V23" i="29"/>
  <c r="W23" i="29"/>
  <c r="U24" i="29"/>
  <c r="V24" i="29" s="1"/>
  <c r="AV22" i="29"/>
  <c r="AW22" i="29"/>
  <c r="AX22" i="29"/>
  <c r="AT22" i="29"/>
  <c r="AS22" i="29"/>
  <c r="AU22" i="29"/>
  <c r="AR22" i="29"/>
  <c r="AQ23" i="29" a="1"/>
  <c r="AQ23" i="29" s="1"/>
  <c r="N21" i="29"/>
  <c r="L21" i="29"/>
  <c r="K21" i="29"/>
  <c r="M21" i="29"/>
  <c r="J22" i="29"/>
  <c r="AJ28" i="29" l="1"/>
  <c r="AI28" i="29"/>
  <c r="AH28" i="29"/>
  <c r="AG28" i="29"/>
  <c r="AF29" i="29"/>
  <c r="U25" i="29"/>
  <c r="W25" i="29" s="1"/>
  <c r="X24" i="29"/>
  <c r="W24" i="29"/>
  <c r="Y24" i="29"/>
  <c r="AV23" i="29"/>
  <c r="AW23" i="29"/>
  <c r="AX23" i="29"/>
  <c r="M22" i="29"/>
  <c r="N22" i="29"/>
  <c r="K22" i="29"/>
  <c r="L22" i="29"/>
  <c r="J23" i="29"/>
  <c r="AU23" i="29"/>
  <c r="AR23" i="29"/>
  <c r="AT23" i="29"/>
  <c r="AS23" i="29"/>
  <c r="AQ24" i="29" a="1"/>
  <c r="AQ24" i="29" s="1"/>
  <c r="O5" i="18"/>
  <c r="AI29" i="29" l="1"/>
  <c r="AH29" i="29"/>
  <c r="AJ29" i="29"/>
  <c r="AG29" i="29"/>
  <c r="AF30" i="29"/>
  <c r="X25" i="29"/>
  <c r="Y25" i="29"/>
  <c r="U26" i="29"/>
  <c r="X26" i="29" s="1"/>
  <c r="V25" i="29"/>
  <c r="AV24" i="29"/>
  <c r="AW24" i="29"/>
  <c r="AX24" i="29"/>
  <c r="AS24" i="29"/>
  <c r="AU24" i="29"/>
  <c r="AT24" i="29"/>
  <c r="AR24" i="29"/>
  <c r="AQ25" i="29" a="1"/>
  <c r="AQ25" i="29" s="1"/>
  <c r="N23" i="29"/>
  <c r="K23" i="29"/>
  <c r="M23" i="29"/>
  <c r="L23" i="29"/>
  <c r="J24" i="29"/>
  <c r="O5" i="23"/>
  <c r="N5" i="23"/>
  <c r="M5" i="23"/>
  <c r="O5" i="25"/>
  <c r="N5" i="25"/>
  <c r="M5" i="25"/>
  <c r="O5" i="24"/>
  <c r="N5" i="24"/>
  <c r="M5" i="24"/>
  <c r="O5" i="22"/>
  <c r="N5" i="22"/>
  <c r="M5" i="22"/>
  <c r="O5" i="21"/>
  <c r="N5" i="21"/>
  <c r="M5" i="21"/>
  <c r="O5" i="20"/>
  <c r="N5" i="20"/>
  <c r="M5" i="20"/>
  <c r="O5" i="19"/>
  <c r="N5" i="19"/>
  <c r="M5" i="19"/>
  <c r="N5" i="18"/>
  <c r="M5" i="18"/>
  <c r="O5" i="15"/>
  <c r="N5" i="15"/>
  <c r="M5" i="15"/>
  <c r="M5" i="14"/>
  <c r="N5" i="14"/>
  <c r="O5" i="14"/>
  <c r="AG30" i="29" l="1"/>
  <c r="AJ30" i="29"/>
  <c r="AI30" i="29"/>
  <c r="AH30" i="29"/>
  <c r="AF31" i="29"/>
  <c r="V26" i="29"/>
  <c r="W26" i="29"/>
  <c r="U27" i="29"/>
  <c r="V27" i="29" s="1"/>
  <c r="Y26" i="29"/>
  <c r="AV25" i="29"/>
  <c r="AX25" i="29"/>
  <c r="AW25" i="29"/>
  <c r="L24" i="29"/>
  <c r="N24" i="29"/>
  <c r="K24" i="29"/>
  <c r="M24" i="29"/>
  <c r="J25" i="29"/>
  <c r="AR25" i="29"/>
  <c r="AT25" i="29"/>
  <c r="AS25" i="29"/>
  <c r="AU25" i="29"/>
  <c r="AQ26" i="29" a="1"/>
  <c r="AQ26" i="29" s="1"/>
  <c r="B21" i="13"/>
  <c r="B20" i="13"/>
  <c r="B19" i="13"/>
  <c r="B18" i="13"/>
  <c r="B17" i="13"/>
  <c r="B16" i="13"/>
  <c r="B15" i="13"/>
  <c r="B14" i="13"/>
  <c r="B13" i="13"/>
  <c r="B12" i="13"/>
  <c r="B11" i="13"/>
  <c r="B10" i="13"/>
  <c r="AI31" i="29" l="1"/>
  <c r="AH31" i="29"/>
  <c r="AG31" i="29"/>
  <c r="AJ31" i="29"/>
  <c r="AF32" i="29"/>
  <c r="W27" i="29"/>
  <c r="Y27" i="29"/>
  <c r="X27" i="29"/>
  <c r="U28" i="29"/>
  <c r="V28" i="29" s="1"/>
  <c r="AV26" i="29"/>
  <c r="AW26" i="29"/>
  <c r="AX26" i="29"/>
  <c r="AT26" i="29"/>
  <c r="AS26" i="29"/>
  <c r="AU26" i="29"/>
  <c r="AR26" i="29"/>
  <c r="AQ27" i="29" a="1"/>
  <c r="AQ27" i="29" s="1"/>
  <c r="N25" i="29"/>
  <c r="L25" i="29"/>
  <c r="K25" i="29"/>
  <c r="M25" i="29"/>
  <c r="J26" i="29"/>
  <c r="AI32" i="29" l="1"/>
  <c r="AG32" i="29"/>
  <c r="AH32" i="29"/>
  <c r="AJ32" i="29"/>
  <c r="AF33" i="29"/>
  <c r="X28" i="29"/>
  <c r="Y28" i="29"/>
  <c r="U29" i="29"/>
  <c r="X29" i="29" s="1"/>
  <c r="W28" i="29"/>
  <c r="AV27" i="29"/>
  <c r="AW27" i="29"/>
  <c r="AX27" i="29"/>
  <c r="N26" i="29"/>
  <c r="M26" i="29"/>
  <c r="K26" i="29"/>
  <c r="L26" i="29"/>
  <c r="J27" i="29"/>
  <c r="AU27" i="29"/>
  <c r="AT27" i="29"/>
  <c r="AR27" i="29"/>
  <c r="AS27" i="29"/>
  <c r="AQ28" i="29" a="1"/>
  <c r="AQ28" i="29" s="1"/>
  <c r="AI33" i="29" l="1"/>
  <c r="AH33" i="29"/>
  <c r="AG33" i="29"/>
  <c r="AJ33" i="29"/>
  <c r="AF34" i="29"/>
  <c r="U30" i="29"/>
  <c r="W30" i="29" s="1"/>
  <c r="Y29" i="29"/>
  <c r="V29" i="29"/>
  <c r="W29" i="29"/>
  <c r="AV28" i="29"/>
  <c r="AW28" i="29"/>
  <c r="AX28" i="29"/>
  <c r="AT28" i="29"/>
  <c r="AU28" i="29"/>
  <c r="AS28" i="29"/>
  <c r="AR28" i="29"/>
  <c r="AQ29" i="29" a="1"/>
  <c r="AQ29" i="29" s="1"/>
  <c r="L27" i="29"/>
  <c r="K27" i="29"/>
  <c r="N27" i="29"/>
  <c r="M27" i="29"/>
  <c r="J28" i="29"/>
  <c r="AH34" i="29" l="1"/>
  <c r="AI34" i="29"/>
  <c r="AJ34" i="29"/>
  <c r="AG34" i="29"/>
  <c r="AF35" i="29"/>
  <c r="Y30" i="29"/>
  <c r="X30" i="29"/>
  <c r="U31" i="29"/>
  <c r="W31" i="29" s="1"/>
  <c r="V30" i="29"/>
  <c r="AV29" i="29"/>
  <c r="AW29" i="29"/>
  <c r="AX29" i="29"/>
  <c r="K28" i="29"/>
  <c r="M28" i="29"/>
  <c r="L28" i="29"/>
  <c r="N28" i="29"/>
  <c r="J29" i="29"/>
  <c r="AT29" i="29"/>
  <c r="AR29" i="29"/>
  <c r="AU29" i="29"/>
  <c r="AS29" i="29"/>
  <c r="AQ30" i="29" a="1"/>
  <c r="AQ30" i="29" s="1"/>
  <c r="G49" i="24"/>
  <c r="G49" i="14"/>
  <c r="G49" i="16"/>
  <c r="G49" i="23"/>
  <c r="G49" i="15"/>
  <c r="G49" i="27"/>
  <c r="G49" i="20"/>
  <c r="G49" i="19"/>
  <c r="G49" i="21"/>
  <c r="G49" i="25"/>
  <c r="G49" i="18"/>
  <c r="G49" i="1"/>
  <c r="G49" i="22"/>
  <c r="H49" i="1"/>
  <c r="H49" i="15"/>
  <c r="H49" i="23"/>
  <c r="H49" i="25"/>
  <c r="H49" i="27"/>
  <c r="H49" i="18"/>
  <c r="H49" i="20"/>
  <c r="H49" i="19"/>
  <c r="H49" i="21"/>
  <c r="H49" i="16"/>
  <c r="H49" i="24"/>
  <c r="H49" i="22"/>
  <c r="H49" i="14"/>
  <c r="L9" i="13"/>
  <c r="G5" i="13"/>
  <c r="R9" i="13"/>
  <c r="S10" i="13" s="1"/>
  <c r="R10" i="13" s="1"/>
  <c r="U9" i="13"/>
  <c r="T10" i="13" s="1"/>
  <c r="T24" i="13" s="1"/>
  <c r="E4" i="13"/>
  <c r="G4" i="13" s="1"/>
  <c r="X9" i="13"/>
  <c r="G3" i="13"/>
  <c r="E2" i="13"/>
  <c r="G2" i="13" s="1"/>
  <c r="W10" i="13" l="1"/>
  <c r="Y10" i="13" s="1"/>
  <c r="M22" i="13"/>
  <c r="M16" i="13"/>
  <c r="AG35" i="29"/>
  <c r="AI35" i="29"/>
  <c r="AJ35" i="29"/>
  <c r="AH35" i="29"/>
  <c r="AF36" i="29"/>
  <c r="U32" i="29"/>
  <c r="Y32" i="29" s="1"/>
  <c r="Y31" i="29"/>
  <c r="X31" i="29"/>
  <c r="V31" i="29"/>
  <c r="T17" i="13"/>
  <c r="AV30" i="29"/>
  <c r="AW30" i="29"/>
  <c r="AX30" i="29"/>
  <c r="AT30" i="29"/>
  <c r="AU30" i="29"/>
  <c r="AR30" i="29"/>
  <c r="AS30" i="29"/>
  <c r="AQ31" i="29" a="1"/>
  <c r="AQ31" i="29" s="1"/>
  <c r="L29" i="29"/>
  <c r="K29" i="29"/>
  <c r="N29" i="29"/>
  <c r="M29" i="29"/>
  <c r="J30" i="29"/>
  <c r="M14" i="13"/>
  <c r="M23" i="13" s="1"/>
  <c r="U10" i="13"/>
  <c r="V10" i="13"/>
  <c r="T11" i="13"/>
  <c r="T25" i="13" s="1"/>
  <c r="S11" i="13"/>
  <c r="S24" i="13"/>
  <c r="R24" i="13" s="1"/>
  <c r="M12" i="13"/>
  <c r="M11" i="13"/>
  <c r="M9" i="13"/>
  <c r="M15" i="13"/>
  <c r="M10" i="13"/>
  <c r="M13" i="13"/>
  <c r="V17" i="13" l="1"/>
  <c r="T31" i="13"/>
  <c r="W24" i="13"/>
  <c r="W11" i="13"/>
  <c r="T18" i="13"/>
  <c r="AH36" i="29"/>
  <c r="AI36" i="29"/>
  <c r="AJ36" i="29"/>
  <c r="AG36" i="29"/>
  <c r="AF37" i="29"/>
  <c r="W32" i="29"/>
  <c r="U33" i="29"/>
  <c r="V33" i="29" s="1"/>
  <c r="V32" i="29"/>
  <c r="X32" i="29"/>
  <c r="U17" i="13"/>
  <c r="AV31" i="29"/>
  <c r="AW31" i="29"/>
  <c r="AX31" i="29"/>
  <c r="K30" i="29"/>
  <c r="M30" i="29"/>
  <c r="L30" i="29"/>
  <c r="N30" i="29"/>
  <c r="J31" i="29"/>
  <c r="AS31" i="29"/>
  <c r="AU31" i="29"/>
  <c r="AR31" i="29"/>
  <c r="AT31" i="29"/>
  <c r="AQ32" i="29" a="1"/>
  <c r="AQ32" i="29" s="1"/>
  <c r="R11" i="13"/>
  <c r="S12" i="13"/>
  <c r="S25" i="13"/>
  <c r="R25" i="13" s="1"/>
  <c r="V11" i="13"/>
  <c r="U11" i="13"/>
  <c r="T12" i="13"/>
  <c r="T26" i="13" s="1"/>
  <c r="T19" i="13" l="1"/>
  <c r="T33" i="13" s="1"/>
  <c r="T32" i="13"/>
  <c r="V24" i="13"/>
  <c r="U24" i="13" s="1"/>
  <c r="Y24" i="13"/>
  <c r="X24" i="13" s="1"/>
  <c r="AB24" i="13"/>
  <c r="AA24" i="13" s="1"/>
  <c r="AE24" i="13"/>
  <c r="AD24" i="13" s="1"/>
  <c r="W25" i="13"/>
  <c r="AE11" i="13"/>
  <c r="W12" i="13"/>
  <c r="Y11" i="13"/>
  <c r="AB11" i="13"/>
  <c r="U18" i="13"/>
  <c r="V18" i="13"/>
  <c r="AJ37" i="29"/>
  <c r="AH37" i="29"/>
  <c r="AI37" i="29"/>
  <c r="AG37" i="29"/>
  <c r="AF38" i="29"/>
  <c r="X33" i="29"/>
  <c r="U34" i="29"/>
  <c r="V34" i="29" s="1"/>
  <c r="W33" i="29"/>
  <c r="Y33" i="29"/>
  <c r="AV32" i="29"/>
  <c r="AX32" i="29"/>
  <c r="AW32" i="29"/>
  <c r="AS32" i="29"/>
  <c r="AU32" i="29"/>
  <c r="AT32" i="29"/>
  <c r="AR32" i="29"/>
  <c r="AQ33" i="29" a="1"/>
  <c r="AQ33" i="29" s="1"/>
  <c r="L31" i="29"/>
  <c r="K31" i="29"/>
  <c r="N31" i="29"/>
  <c r="M31" i="29"/>
  <c r="J32" i="29"/>
  <c r="V12" i="13"/>
  <c r="U12" i="13"/>
  <c r="T13" i="13"/>
  <c r="T27" i="13" s="1"/>
  <c r="S26" i="13"/>
  <c r="R26" i="13" s="1"/>
  <c r="R12" i="13"/>
  <c r="S13" i="13"/>
  <c r="W13" i="13" l="1"/>
  <c r="W26" i="13"/>
  <c r="AE12" i="13"/>
  <c r="AB12" i="13"/>
  <c r="Y12" i="13"/>
  <c r="AE25" i="13"/>
  <c r="AD25" i="13" s="1"/>
  <c r="V25" i="13"/>
  <c r="U25" i="13" s="1"/>
  <c r="AB25" i="13"/>
  <c r="AA25" i="13" s="1"/>
  <c r="Y25" i="13"/>
  <c r="T20" i="13"/>
  <c r="T34" i="13" s="1"/>
  <c r="V19" i="13"/>
  <c r="U19" i="13"/>
  <c r="AH38" i="29"/>
  <c r="AI38" i="29"/>
  <c r="AG38" i="29"/>
  <c r="AJ38" i="29"/>
  <c r="AF39" i="29"/>
  <c r="W34" i="29"/>
  <c r="Y34" i="29"/>
  <c r="U35" i="29"/>
  <c r="W35" i="29" s="1"/>
  <c r="X34" i="29"/>
  <c r="AV33" i="29"/>
  <c r="AW33" i="29"/>
  <c r="AX33" i="29"/>
  <c r="K32" i="29"/>
  <c r="L32" i="29"/>
  <c r="M32" i="29"/>
  <c r="N32" i="29"/>
  <c r="J33" i="29"/>
  <c r="AS33" i="29"/>
  <c r="AU33" i="29"/>
  <c r="AT33" i="29"/>
  <c r="AR33" i="29"/>
  <c r="AQ34" i="29" a="1"/>
  <c r="AQ34" i="29" s="1"/>
  <c r="U13" i="13"/>
  <c r="V13" i="13"/>
  <c r="T14" i="13"/>
  <c r="T28" i="13" s="1"/>
  <c r="R13" i="13"/>
  <c r="S14" i="13"/>
  <c r="S27" i="13"/>
  <c r="R27" i="13" s="1"/>
  <c r="AB26" i="13" l="1"/>
  <c r="AA26" i="13" s="1"/>
  <c r="Y26" i="13"/>
  <c r="AE26" i="13"/>
  <c r="AD26" i="13" s="1"/>
  <c r="V26" i="13"/>
  <c r="U26" i="13" s="1"/>
  <c r="W14" i="13"/>
  <c r="W27" i="13"/>
  <c r="AE13" i="13"/>
  <c r="AB13" i="13"/>
  <c r="Y13" i="13"/>
  <c r="T21" i="13"/>
  <c r="T35" i="13" s="1"/>
  <c r="V20" i="13"/>
  <c r="U20" i="13"/>
  <c r="AG39" i="29"/>
  <c r="AH39" i="29"/>
  <c r="AI39" i="29"/>
  <c r="AJ39" i="29"/>
  <c r="AF40" i="29"/>
  <c r="Y35" i="29"/>
  <c r="X35" i="29"/>
  <c r="V35" i="29"/>
  <c r="U36" i="29"/>
  <c r="W36" i="29" s="1"/>
  <c r="AV34" i="29"/>
  <c r="AW34" i="29"/>
  <c r="AX34" i="29"/>
  <c r="N33" i="29"/>
  <c r="L33" i="29"/>
  <c r="K33" i="29"/>
  <c r="M33" i="29"/>
  <c r="J34" i="29"/>
  <c r="AS34" i="29"/>
  <c r="AU34" i="29"/>
  <c r="AR34" i="29"/>
  <c r="AT34" i="29"/>
  <c r="AQ35" i="29" a="1"/>
  <c r="AQ35" i="29" s="1"/>
  <c r="S15" i="13"/>
  <c r="R14" i="13"/>
  <c r="S28" i="13"/>
  <c r="R28" i="13" s="1"/>
  <c r="U14" i="13"/>
  <c r="V14" i="13"/>
  <c r="T15" i="13"/>
  <c r="T29" i="13" s="1"/>
  <c r="U21" i="13" l="1"/>
  <c r="T22" i="13"/>
  <c r="T36" i="13" s="1"/>
  <c r="AD27" i="13"/>
  <c r="V27" i="13"/>
  <c r="U27" i="13" s="1"/>
  <c r="AB27" i="13"/>
  <c r="AA27" i="13" s="1"/>
  <c r="AE27" i="13"/>
  <c r="Y27" i="13"/>
  <c r="W15" i="13"/>
  <c r="W28" i="13"/>
  <c r="AE14" i="13"/>
  <c r="Y14" i="13"/>
  <c r="AB14" i="13"/>
  <c r="V21" i="13"/>
  <c r="AF41" i="29"/>
  <c r="AH40" i="29"/>
  <c r="AJ40" i="29"/>
  <c r="AI40" i="29"/>
  <c r="AG40" i="29"/>
  <c r="U37" i="29"/>
  <c r="V37" i="29" s="1"/>
  <c r="X36" i="29"/>
  <c r="V36" i="29"/>
  <c r="Y36" i="29"/>
  <c r="AV35" i="29"/>
  <c r="AX35" i="29"/>
  <c r="AW35" i="29"/>
  <c r="AT35" i="29"/>
  <c r="AR35" i="29"/>
  <c r="AS35" i="29"/>
  <c r="AU35" i="29"/>
  <c r="AQ36" i="29" a="1"/>
  <c r="AQ36" i="29" s="1"/>
  <c r="K34" i="29"/>
  <c r="N34" i="29"/>
  <c r="M34" i="29"/>
  <c r="L34" i="29"/>
  <c r="J35" i="29"/>
  <c r="U16" i="13"/>
  <c r="U15" i="13"/>
  <c r="V15" i="13"/>
  <c r="R15" i="13"/>
  <c r="S16" i="13"/>
  <c r="S29" i="13"/>
  <c r="R29" i="13" s="1"/>
  <c r="AB28" i="13" l="1"/>
  <c r="AA28" i="13" s="1"/>
  <c r="AE28" i="13"/>
  <c r="AD28" i="13" s="1"/>
  <c r="V28" i="13"/>
  <c r="U28" i="13" s="1"/>
  <c r="Y28" i="13"/>
  <c r="W16" i="13"/>
  <c r="W29" i="13"/>
  <c r="AE15" i="13"/>
  <c r="AB15" i="13"/>
  <c r="Y15" i="13"/>
  <c r="U22" i="13"/>
  <c r="V22" i="13"/>
  <c r="V55" i="13"/>
  <c r="AG41" i="29"/>
  <c r="AI41" i="29"/>
  <c r="AJ41" i="29"/>
  <c r="AH41" i="29"/>
  <c r="AF42" i="29"/>
  <c r="U38" i="29"/>
  <c r="V38" i="29" s="1"/>
  <c r="Y37" i="29"/>
  <c r="W37" i="29"/>
  <c r="X37" i="29"/>
  <c r="AV36" i="29"/>
  <c r="AW36" i="29"/>
  <c r="AX36" i="29"/>
  <c r="N35" i="29"/>
  <c r="L35" i="29"/>
  <c r="K35" i="29"/>
  <c r="M35" i="29"/>
  <c r="J36" i="29"/>
  <c r="AR36" i="29"/>
  <c r="AU36" i="29"/>
  <c r="AS36" i="29"/>
  <c r="AT36" i="29"/>
  <c r="AQ37" i="29" a="1"/>
  <c r="AQ37" i="29" s="1"/>
  <c r="R16" i="13"/>
  <c r="S30" i="13"/>
  <c r="R30" i="13" s="1"/>
  <c r="S17" i="13"/>
  <c r="AE29" i="13" l="1"/>
  <c r="AD29" i="13" s="1"/>
  <c r="AB29" i="13"/>
  <c r="AA29" i="13" s="1"/>
  <c r="Y29" i="13"/>
  <c r="V29" i="13"/>
  <c r="U29" i="13" s="1"/>
  <c r="W17" i="13"/>
  <c r="AE16" i="13"/>
  <c r="W30" i="13"/>
  <c r="Y16" i="13"/>
  <c r="AB16" i="13"/>
  <c r="AH42" i="29"/>
  <c r="AG42" i="29"/>
  <c r="AI42" i="29"/>
  <c r="AJ42" i="29"/>
  <c r="AF43" i="29"/>
  <c r="U39" i="29"/>
  <c r="V39" i="29" s="1"/>
  <c r="Y38" i="29"/>
  <c r="X38" i="29"/>
  <c r="W38" i="29"/>
  <c r="AV37" i="29"/>
  <c r="AW37" i="29"/>
  <c r="AX37" i="29"/>
  <c r="K36" i="29"/>
  <c r="M36" i="29"/>
  <c r="N36" i="29"/>
  <c r="L36" i="29"/>
  <c r="J37" i="29"/>
  <c r="AT37" i="29"/>
  <c r="AS37" i="29"/>
  <c r="AR37" i="29"/>
  <c r="AU37" i="29"/>
  <c r="AQ38" i="29" a="1"/>
  <c r="AQ38" i="29" s="1"/>
  <c r="R17" i="13"/>
  <c r="S31" i="13"/>
  <c r="R31" i="13" s="1"/>
  <c r="L17" i="13"/>
  <c r="S18" i="13"/>
  <c r="S19" i="13" s="1"/>
  <c r="R19" i="13" s="1"/>
  <c r="T23" i="13"/>
  <c r="V23" i="13" s="1"/>
  <c r="AB23" i="13"/>
  <c r="B2" i="13"/>
  <c r="W18" i="13" l="1"/>
  <c r="W31" i="13"/>
  <c r="AE17" i="13"/>
  <c r="Y17" i="13"/>
  <c r="AB17" i="13"/>
  <c r="AD30" i="13"/>
  <c r="Y30" i="13"/>
  <c r="AE30" i="13"/>
  <c r="AB30" i="13"/>
  <c r="AA30" i="13" s="1"/>
  <c r="V30" i="13"/>
  <c r="U30" i="13" s="1"/>
  <c r="J3" i="13"/>
  <c r="K3" i="13" s="1"/>
  <c r="B3" i="29" s="1"/>
  <c r="B14" i="29" s="1" a="1"/>
  <c r="B14" i="29" s="1"/>
  <c r="J6" i="13"/>
  <c r="K6" i="13" s="1"/>
  <c r="M17" i="13"/>
  <c r="M21" i="13"/>
  <c r="AG43" i="29"/>
  <c r="AH43" i="29"/>
  <c r="AJ43" i="29"/>
  <c r="AI43" i="29"/>
  <c r="AF44" i="29"/>
  <c r="U40" i="29"/>
  <c r="U41" i="29" s="1"/>
  <c r="Y39" i="29"/>
  <c r="X39" i="29"/>
  <c r="W39" i="29"/>
  <c r="AV38" i="29"/>
  <c r="AW38" i="29"/>
  <c r="AX38" i="29"/>
  <c r="N37" i="29"/>
  <c r="M37" i="29"/>
  <c r="L37" i="29"/>
  <c r="K37" i="29"/>
  <c r="J38" i="29"/>
  <c r="AR38" i="29"/>
  <c r="AU38" i="29"/>
  <c r="AT38" i="29"/>
  <c r="AS38" i="29"/>
  <c r="AQ39" i="29" a="1"/>
  <c r="AQ39" i="29" s="1"/>
  <c r="Y23" i="13"/>
  <c r="S20" i="13"/>
  <c r="R20" i="13" s="1"/>
  <c r="S33" i="13"/>
  <c r="R33" i="13" s="1"/>
  <c r="J5" i="13"/>
  <c r="K5" i="13" s="1"/>
  <c r="J2" i="13"/>
  <c r="K2" i="13" s="1"/>
  <c r="J4" i="13"/>
  <c r="K4" i="13" s="1"/>
  <c r="R18" i="13"/>
  <c r="S32" i="13"/>
  <c r="R32" i="13" s="1"/>
  <c r="M20" i="13"/>
  <c r="M19" i="13"/>
  <c r="M18" i="13"/>
  <c r="AB31" i="13" l="1"/>
  <c r="AA31" i="13" s="1"/>
  <c r="Y31" i="13"/>
  <c r="V31" i="13"/>
  <c r="U31" i="13" s="1"/>
  <c r="AE31" i="13"/>
  <c r="AD31" i="13" s="1"/>
  <c r="W19" i="13"/>
  <c r="AE18" i="13"/>
  <c r="W32" i="13"/>
  <c r="AB18" i="13"/>
  <c r="Y18" i="13"/>
  <c r="B10" i="29"/>
  <c r="M24" i="13"/>
  <c r="L35" i="22" s="1"/>
  <c r="M85" i="13"/>
  <c r="N85" i="13" s="1" a="1"/>
  <c r="N85" i="13" s="1"/>
  <c r="M101" i="13"/>
  <c r="N101" i="13" s="1" a="1"/>
  <c r="N101" i="13" s="1"/>
  <c r="M117" i="13"/>
  <c r="N117" i="13" s="1" a="1"/>
  <c r="N117" i="13" s="1"/>
  <c r="M126" i="13"/>
  <c r="N126" i="13" s="1" a="1"/>
  <c r="N126" i="13" s="1"/>
  <c r="M81" i="13"/>
  <c r="N81" i="13" s="1" a="1"/>
  <c r="N81" i="13" s="1"/>
  <c r="M100" i="13"/>
  <c r="N100" i="13" s="1" a="1"/>
  <c r="N100" i="13" s="1"/>
  <c r="O3" i="13"/>
  <c r="M86" i="13"/>
  <c r="N86" i="13" s="1" a="1"/>
  <c r="N86" i="13" s="1"/>
  <c r="M102" i="13"/>
  <c r="N102" i="13" s="1" a="1"/>
  <c r="N102" i="13" s="1"/>
  <c r="M118" i="13"/>
  <c r="N118" i="13" s="1" a="1"/>
  <c r="N118" i="13" s="1"/>
  <c r="M55" i="13"/>
  <c r="N55" i="13" s="1" a="1"/>
  <c r="N55" i="13" s="1"/>
  <c r="M71" i="13"/>
  <c r="N71" i="13" s="1" a="1"/>
  <c r="N71" i="13" s="1"/>
  <c r="M87" i="13"/>
  <c r="N87" i="13" s="1" a="1"/>
  <c r="N87" i="13" s="1"/>
  <c r="M103" i="13"/>
  <c r="N103" i="13" s="1" a="1"/>
  <c r="N103" i="13" s="1"/>
  <c r="M119" i="13"/>
  <c r="N119" i="13" s="1" a="1"/>
  <c r="N119" i="13" s="1"/>
  <c r="M110" i="13"/>
  <c r="N110" i="13" s="1" a="1"/>
  <c r="N110" i="13" s="1"/>
  <c r="M114" i="13"/>
  <c r="N114" i="13" s="1" a="1"/>
  <c r="N114" i="13" s="1"/>
  <c r="M88" i="13"/>
  <c r="N88" i="13" s="1" a="1"/>
  <c r="N88" i="13" s="1"/>
  <c r="M104" i="13"/>
  <c r="N104" i="13" s="1" a="1"/>
  <c r="N104" i="13" s="1"/>
  <c r="M120" i="13"/>
  <c r="N120" i="13" s="1" a="1"/>
  <c r="N120" i="13" s="1"/>
  <c r="M94" i="13"/>
  <c r="N94" i="13" s="1" a="1"/>
  <c r="N94" i="13" s="1"/>
  <c r="M83" i="13"/>
  <c r="N83" i="13" s="1" a="1"/>
  <c r="N83" i="13" s="1"/>
  <c r="M89" i="13"/>
  <c r="N89" i="13" s="1" a="1"/>
  <c r="N89" i="13" s="1"/>
  <c r="M105" i="13"/>
  <c r="N105" i="13" s="1" a="1"/>
  <c r="N105" i="13" s="1"/>
  <c r="M121" i="13"/>
  <c r="N121" i="13" s="1" a="1"/>
  <c r="N121" i="13" s="1"/>
  <c r="M128" i="13"/>
  <c r="N128" i="13" s="1" a="1"/>
  <c r="N128" i="13" s="1"/>
  <c r="M129" i="13"/>
  <c r="N129" i="13" s="1" a="1"/>
  <c r="N129" i="13" s="1"/>
  <c r="M27" i="13"/>
  <c r="N27" i="13" s="1" a="1"/>
  <c r="N27" i="13" s="1"/>
  <c r="M90" i="13"/>
  <c r="N90" i="13" s="1" a="1"/>
  <c r="N90" i="13" s="1"/>
  <c r="M106" i="13"/>
  <c r="N106" i="13" s="1" a="1"/>
  <c r="N106" i="13" s="1"/>
  <c r="M122" i="13"/>
  <c r="N122" i="13" s="1" a="1"/>
  <c r="N122" i="13" s="1"/>
  <c r="M123" i="13"/>
  <c r="N123" i="13" s="1" a="1"/>
  <c r="N123" i="13" s="1"/>
  <c r="M113" i="13"/>
  <c r="N113" i="13" s="1" a="1"/>
  <c r="N113" i="13" s="1"/>
  <c r="M115" i="13"/>
  <c r="N115" i="13" s="1" a="1"/>
  <c r="N115" i="13" s="1"/>
  <c r="M91" i="13"/>
  <c r="N91" i="13" s="1" a="1"/>
  <c r="N91" i="13" s="1"/>
  <c r="M107" i="13"/>
  <c r="N107" i="13" s="1" a="1"/>
  <c r="N107" i="13" s="1"/>
  <c r="M127" i="13"/>
  <c r="N127" i="13" s="1" a="1"/>
  <c r="N127" i="13" s="1"/>
  <c r="M82" i="13"/>
  <c r="N82" i="13" s="1" a="1"/>
  <c r="N82" i="13" s="1"/>
  <c r="M92" i="13"/>
  <c r="N92" i="13" s="1" a="1"/>
  <c r="N92" i="13" s="1"/>
  <c r="M108" i="13"/>
  <c r="N108" i="13" s="1" a="1"/>
  <c r="N108" i="13" s="1"/>
  <c r="M124" i="13"/>
  <c r="N124" i="13" s="1" a="1"/>
  <c r="N124" i="13" s="1"/>
  <c r="M112" i="13"/>
  <c r="N112" i="13" s="1" a="1"/>
  <c r="N112" i="13" s="1"/>
  <c r="M77" i="13"/>
  <c r="N77" i="13" s="1" a="1"/>
  <c r="N77" i="13" s="1"/>
  <c r="M93" i="13"/>
  <c r="N93" i="13" s="1" a="1"/>
  <c r="N93" i="13" s="1"/>
  <c r="M109" i="13"/>
  <c r="N109" i="13" s="1" a="1"/>
  <c r="N109" i="13" s="1"/>
  <c r="M125" i="13"/>
  <c r="N125" i="13" s="1" a="1"/>
  <c r="N125" i="13" s="1"/>
  <c r="M95" i="13"/>
  <c r="N95" i="13" s="1" a="1"/>
  <c r="N95" i="13" s="1"/>
  <c r="M98" i="13"/>
  <c r="N98" i="13" s="1" a="1"/>
  <c r="N98" i="13" s="1"/>
  <c r="M78" i="13"/>
  <c r="N78" i="13" s="1" a="1"/>
  <c r="N78" i="13" s="1"/>
  <c r="M97" i="13"/>
  <c r="N97" i="13" s="1" a="1"/>
  <c r="N97" i="13" s="1"/>
  <c r="M79" i="13"/>
  <c r="N79" i="13" s="1" a="1"/>
  <c r="N79" i="13" s="1"/>
  <c r="M111" i="13"/>
  <c r="N111" i="13" s="1" a="1"/>
  <c r="N111" i="13" s="1"/>
  <c r="M130" i="13"/>
  <c r="N130" i="13" s="1" a="1"/>
  <c r="N130" i="13" s="1"/>
  <c r="M116" i="13"/>
  <c r="N116" i="13" s="1" a="1"/>
  <c r="N116" i="13" s="1"/>
  <c r="M80" i="13"/>
  <c r="N80" i="13" s="1" a="1"/>
  <c r="N80" i="13" s="1"/>
  <c r="M96" i="13"/>
  <c r="N96" i="13" s="1" a="1"/>
  <c r="N96" i="13" s="1"/>
  <c r="M84" i="13"/>
  <c r="N84" i="13" s="1" a="1"/>
  <c r="N84" i="13" s="1"/>
  <c r="M99" i="13"/>
  <c r="N99" i="13" s="1" a="1"/>
  <c r="N99" i="13" s="1"/>
  <c r="M34" i="13"/>
  <c r="N34" i="13" s="1" a="1"/>
  <c r="N34" i="13" s="1"/>
  <c r="M48" i="13"/>
  <c r="N48" i="13" s="1" a="1"/>
  <c r="N48" i="13" s="1"/>
  <c r="M42" i="13"/>
  <c r="N42" i="13" s="1" a="1"/>
  <c r="N42" i="13" s="1"/>
  <c r="M28" i="13"/>
  <c r="N28" i="13" s="1" a="1"/>
  <c r="N28" i="13" s="1"/>
  <c r="M29" i="13"/>
  <c r="N29" i="13" s="1" a="1"/>
  <c r="N29" i="13" s="1"/>
  <c r="M43" i="13"/>
  <c r="N43" i="13" s="1" a="1"/>
  <c r="N43" i="13" s="1"/>
  <c r="M49" i="13"/>
  <c r="N49" i="13" s="1" a="1"/>
  <c r="N49" i="13" s="1"/>
  <c r="M30" i="13"/>
  <c r="N30" i="13" s="1" a="1"/>
  <c r="N30" i="13" s="1"/>
  <c r="M44" i="13"/>
  <c r="N44" i="13" s="1" a="1"/>
  <c r="N44" i="13" s="1"/>
  <c r="M45" i="13"/>
  <c r="N45" i="13" s="1" a="1"/>
  <c r="N45" i="13" s="1"/>
  <c r="M31" i="13"/>
  <c r="N31" i="13" s="1" a="1"/>
  <c r="N31" i="13" s="1"/>
  <c r="M32" i="13"/>
  <c r="N32" i="13" s="1" a="1"/>
  <c r="N32" i="13" s="1"/>
  <c r="M46" i="13"/>
  <c r="N46" i="13" s="1" a="1"/>
  <c r="N46" i="13" s="1"/>
  <c r="M35" i="13"/>
  <c r="N35" i="13" s="1" a="1"/>
  <c r="N35" i="13" s="1"/>
  <c r="M47" i="13"/>
  <c r="N47" i="13" s="1" a="1"/>
  <c r="N47" i="13" s="1"/>
  <c r="M33" i="13"/>
  <c r="N33" i="13" s="1" a="1"/>
  <c r="N33" i="13" s="1"/>
  <c r="M36" i="13"/>
  <c r="N36" i="13" s="1" a="1"/>
  <c r="N36" i="13" s="1"/>
  <c r="M41" i="13"/>
  <c r="N41" i="13" s="1" a="1"/>
  <c r="N41" i="13" s="1"/>
  <c r="AH44" i="29"/>
  <c r="AI44" i="29"/>
  <c r="AJ44" i="29"/>
  <c r="AG44" i="29"/>
  <c r="AF45" i="29"/>
  <c r="W40" i="29"/>
  <c r="Y40" i="29"/>
  <c r="V40" i="29"/>
  <c r="X40" i="29"/>
  <c r="E49" i="15"/>
  <c r="E49" i="25"/>
  <c r="E49" i="23"/>
  <c r="E49" i="16"/>
  <c r="E49" i="18"/>
  <c r="E49" i="20"/>
  <c r="E49" i="22"/>
  <c r="E49" i="19"/>
  <c r="E49" i="24"/>
  <c r="E49" i="21"/>
  <c r="AV39" i="29"/>
  <c r="AX39" i="29"/>
  <c r="AW39" i="29"/>
  <c r="B9" i="29" a="1"/>
  <c r="B9" i="29" s="1"/>
  <c r="AT39" i="29"/>
  <c r="AS39" i="29"/>
  <c r="AR39" i="29"/>
  <c r="AU39" i="29"/>
  <c r="AQ40" i="29" a="1"/>
  <c r="AQ40" i="29" s="1"/>
  <c r="V41" i="29"/>
  <c r="Y41" i="29"/>
  <c r="X41" i="29"/>
  <c r="W41" i="29"/>
  <c r="U42" i="29"/>
  <c r="M38" i="29"/>
  <c r="L38" i="29"/>
  <c r="N38" i="29"/>
  <c r="K38" i="29"/>
  <c r="J39" i="29"/>
  <c r="S21" i="13"/>
  <c r="S22" i="13" s="1"/>
  <c r="S34" i="13"/>
  <c r="R34" i="13" s="1"/>
  <c r="C6" i="1"/>
  <c r="AB32" i="13" l="1"/>
  <c r="AA32" i="13" s="1"/>
  <c r="Y32" i="13"/>
  <c r="AE32" i="13"/>
  <c r="M50" i="13" s="1"/>
  <c r="N50" i="13" s="1" a="1"/>
  <c r="N50" i="13" s="1"/>
  <c r="V32" i="13"/>
  <c r="U32" i="13" s="1"/>
  <c r="W20" i="13"/>
  <c r="W33" i="13"/>
  <c r="AE19" i="13"/>
  <c r="Y19" i="13"/>
  <c r="AB19" i="13"/>
  <c r="B1" i="30"/>
  <c r="AJ45" i="29"/>
  <c r="AG45" i="29"/>
  <c r="AI45" i="29"/>
  <c r="AH45" i="29"/>
  <c r="AF46" i="29"/>
  <c r="D49" i="16"/>
  <c r="D49" i="22"/>
  <c r="D49" i="14"/>
  <c r="D49" i="18"/>
  <c r="D49" i="27"/>
  <c r="D49" i="19"/>
  <c r="D49" i="23"/>
  <c r="D49" i="20"/>
  <c r="D49" i="1"/>
  <c r="D49" i="21"/>
  <c r="D49" i="24"/>
  <c r="D49" i="15"/>
  <c r="D49" i="25"/>
  <c r="AV40" i="29"/>
  <c r="AW40" i="29"/>
  <c r="AX40" i="29"/>
  <c r="W42" i="29"/>
  <c r="X42" i="29"/>
  <c r="Y42" i="29"/>
  <c r="V42" i="29"/>
  <c r="U43" i="29"/>
  <c r="AU40" i="29"/>
  <c r="AS40" i="29"/>
  <c r="AR40" i="29"/>
  <c r="AT40" i="29"/>
  <c r="AQ41" i="29" a="1"/>
  <c r="AQ41" i="29" s="1"/>
  <c r="L39" i="29"/>
  <c r="N39" i="29"/>
  <c r="K39" i="29"/>
  <c r="M39" i="29"/>
  <c r="J40" i="29"/>
  <c r="S35" i="13"/>
  <c r="R35" i="13" s="1"/>
  <c r="R21" i="13"/>
  <c r="B1" i="23"/>
  <c r="B1" i="22"/>
  <c r="B1" i="25"/>
  <c r="B1" i="15"/>
  <c r="B1" i="14"/>
  <c r="B1" i="20"/>
  <c r="B1" i="19"/>
  <c r="B1" i="27"/>
  <c r="B1" i="24"/>
  <c r="B1" i="21"/>
  <c r="B1" i="16"/>
  <c r="B1" i="18"/>
  <c r="R22" i="13"/>
  <c r="S36" i="13"/>
  <c r="R36" i="13" s="1"/>
  <c r="M37" i="13" l="1"/>
  <c r="N37" i="13" s="1" a="1"/>
  <c r="N37" i="13" s="1"/>
  <c r="Y33" i="13"/>
  <c r="AB33" i="13"/>
  <c r="AA33" i="13" s="1"/>
  <c r="V33" i="13"/>
  <c r="U33" i="13" s="1"/>
  <c r="AE33" i="13"/>
  <c r="M51" i="13" s="1"/>
  <c r="N51" i="13" s="1" a="1"/>
  <c r="N51" i="13" s="1"/>
  <c r="W21" i="13"/>
  <c r="W34" i="13"/>
  <c r="AE20" i="13"/>
  <c r="Y20" i="13"/>
  <c r="AB20" i="13"/>
  <c r="AD32" i="13"/>
  <c r="L6" i="1"/>
  <c r="AG46" i="29"/>
  <c r="AI46" i="29"/>
  <c r="AJ46" i="29"/>
  <c r="AH46" i="29"/>
  <c r="AF47" i="29"/>
  <c r="C36" i="27"/>
  <c r="AV41" i="29"/>
  <c r="AW41" i="29"/>
  <c r="AX41" i="29"/>
  <c r="K40" i="29"/>
  <c r="M40" i="29"/>
  <c r="L40" i="29"/>
  <c r="N40" i="29"/>
  <c r="J41" i="29"/>
  <c r="AS41" i="29"/>
  <c r="AR41" i="29"/>
  <c r="AU41" i="29"/>
  <c r="AT41" i="29"/>
  <c r="AQ42" i="29" a="1"/>
  <c r="AQ42" i="29" s="1"/>
  <c r="W43" i="29"/>
  <c r="V43" i="29"/>
  <c r="Y43" i="29"/>
  <c r="X43" i="29"/>
  <c r="U44" i="29"/>
  <c r="C7" i="1"/>
  <c r="AB34" i="13" l="1"/>
  <c r="AA34" i="13" s="1"/>
  <c r="AE34" i="13"/>
  <c r="M52" i="13" s="1"/>
  <c r="N52" i="13" s="1" a="1"/>
  <c r="N52" i="13" s="1"/>
  <c r="V34" i="13"/>
  <c r="U34" i="13" s="1"/>
  <c r="Y34" i="13"/>
  <c r="W22" i="13"/>
  <c r="W35" i="13"/>
  <c r="AE21" i="13"/>
  <c r="Y21" i="13"/>
  <c r="AB21" i="13"/>
  <c r="AD34" i="13"/>
  <c r="M38" i="13"/>
  <c r="N38" i="13" s="1" a="1"/>
  <c r="N38" i="13" s="1"/>
  <c r="AD33" i="13"/>
  <c r="L7" i="1"/>
  <c r="C35" i="27"/>
  <c r="L36" i="27"/>
  <c r="AJ47" i="29"/>
  <c r="AI47" i="29"/>
  <c r="AH47" i="29"/>
  <c r="AG47" i="29"/>
  <c r="AF48" i="29"/>
  <c r="AV42" i="29"/>
  <c r="AW42" i="29"/>
  <c r="AX42" i="29"/>
  <c r="AS42" i="29"/>
  <c r="AR42" i="29"/>
  <c r="AU42" i="29"/>
  <c r="AT42" i="29"/>
  <c r="AQ43" i="29" a="1"/>
  <c r="AQ43" i="29" s="1"/>
  <c r="L41" i="29"/>
  <c r="N41" i="29"/>
  <c r="K41" i="29"/>
  <c r="M41" i="29"/>
  <c r="J42" i="29"/>
  <c r="V44" i="29"/>
  <c r="Y44" i="29"/>
  <c r="X44" i="29"/>
  <c r="W44" i="29"/>
  <c r="U45" i="29"/>
  <c r="C8" i="1"/>
  <c r="Y35" i="13" l="1"/>
  <c r="AE35" i="13"/>
  <c r="M53" i="13" s="1"/>
  <c r="N53" i="13" s="1" a="1"/>
  <c r="N53" i="13" s="1"/>
  <c r="V35" i="13"/>
  <c r="U35" i="13" s="1"/>
  <c r="AB35" i="13"/>
  <c r="AA35" i="13" s="1"/>
  <c r="AE22" i="13"/>
  <c r="W36" i="13"/>
  <c r="AB22" i="13"/>
  <c r="Y22" i="13"/>
  <c r="AD35" i="13"/>
  <c r="M39" i="13"/>
  <c r="N39" i="13" s="1" a="1"/>
  <c r="N39" i="13" s="1"/>
  <c r="L8" i="1"/>
  <c r="C34" i="27"/>
  <c r="L35" i="27"/>
  <c r="AG48" i="29"/>
  <c r="AI48" i="29"/>
  <c r="AH48" i="29"/>
  <c r="AJ48" i="29"/>
  <c r="AF49" i="29"/>
  <c r="AV43" i="29"/>
  <c r="AX43" i="29"/>
  <c r="AW43" i="29"/>
  <c r="K42" i="29"/>
  <c r="M42" i="29"/>
  <c r="L42" i="29"/>
  <c r="N42" i="29"/>
  <c r="J43" i="29"/>
  <c r="AU43" i="29"/>
  <c r="AR43" i="29"/>
  <c r="AS43" i="29"/>
  <c r="AT43" i="29"/>
  <c r="AQ44" i="29" a="1"/>
  <c r="AQ44" i="29" s="1"/>
  <c r="W45" i="29"/>
  <c r="V45" i="29"/>
  <c r="X45" i="29"/>
  <c r="Y45" i="29"/>
  <c r="U46" i="29"/>
  <c r="C9" i="1"/>
  <c r="B9" i="1" s="1"/>
  <c r="Y36" i="13" l="1"/>
  <c r="AE36" i="13"/>
  <c r="AD36" i="13" s="1"/>
  <c r="V36" i="13"/>
  <c r="AB36" i="13"/>
  <c r="M40" i="13"/>
  <c r="N40" i="13" s="1" a="1"/>
  <c r="N40" i="13" s="1"/>
  <c r="C10" i="1"/>
  <c r="C11" i="1" s="1"/>
  <c r="L9" i="1"/>
  <c r="C33" i="27"/>
  <c r="L34" i="27"/>
  <c r="AH49" i="29"/>
  <c r="AG49" i="29"/>
  <c r="AJ49" i="29"/>
  <c r="AI49" i="29"/>
  <c r="AF50" i="29"/>
  <c r="AV44" i="29"/>
  <c r="AW44" i="29"/>
  <c r="AX44" i="29"/>
  <c r="X46" i="29"/>
  <c r="Y46" i="29"/>
  <c r="V46" i="29"/>
  <c r="W46" i="29"/>
  <c r="U47" i="29"/>
  <c r="AR44" i="29"/>
  <c r="AS44" i="29"/>
  <c r="AU44" i="29"/>
  <c r="AT44" i="29"/>
  <c r="AQ45" i="29" a="1"/>
  <c r="AQ45" i="29" s="1"/>
  <c r="L43" i="29"/>
  <c r="N43" i="29"/>
  <c r="K43" i="29"/>
  <c r="M43" i="29"/>
  <c r="J44" i="29"/>
  <c r="AB47" i="13" l="1"/>
  <c r="AB58" i="13"/>
  <c r="AB51" i="13"/>
  <c r="AB39" i="13"/>
  <c r="AB44" i="13"/>
  <c r="AB56" i="13"/>
  <c r="AB41" i="13"/>
  <c r="AB48" i="13"/>
  <c r="AB46" i="13"/>
  <c r="AB49" i="13"/>
  <c r="AB45" i="13"/>
  <c r="AB54" i="13"/>
  <c r="AB42" i="13"/>
  <c r="AB57" i="13"/>
  <c r="AB43" i="13"/>
  <c r="AB52" i="13"/>
  <c r="AB50" i="13"/>
  <c r="AB40" i="13"/>
  <c r="AB38" i="13"/>
  <c r="AB55" i="13"/>
  <c r="AE38" i="13"/>
  <c r="M56" i="13" s="1"/>
  <c r="N56" i="13" s="1" a="1"/>
  <c r="N56" i="13" s="1"/>
  <c r="AE55" i="13"/>
  <c r="M73" i="13" s="1"/>
  <c r="N73" i="13" s="1" a="1"/>
  <c r="N73" i="13" s="1"/>
  <c r="AE50" i="13"/>
  <c r="M68" i="13" s="1"/>
  <c r="N68" i="13" s="1" a="1"/>
  <c r="N68" i="13" s="1"/>
  <c r="AE51" i="13"/>
  <c r="M69" i="13" s="1"/>
  <c r="N69" i="13" s="1" a="1"/>
  <c r="N69" i="13" s="1"/>
  <c r="AE47" i="13"/>
  <c r="M65" i="13" s="1"/>
  <c r="N65" i="13" s="1" a="1"/>
  <c r="N65" i="13" s="1"/>
  <c r="AE46" i="13"/>
  <c r="M64" i="13" s="1"/>
  <c r="N64" i="13" s="1" a="1"/>
  <c r="N64" i="13" s="1"/>
  <c r="AE56" i="13"/>
  <c r="M74" i="13" s="1"/>
  <c r="N74" i="13" s="1" a="1"/>
  <c r="N74" i="13" s="1"/>
  <c r="AE41" i="13"/>
  <c r="M59" i="13" s="1"/>
  <c r="N59" i="13" s="1" a="1"/>
  <c r="N59" i="13" s="1"/>
  <c r="AE44" i="13"/>
  <c r="M62" i="13" s="1"/>
  <c r="N62" i="13" s="1" a="1"/>
  <c r="N62" i="13" s="1"/>
  <c r="AE42" i="13"/>
  <c r="M60" i="13" s="1"/>
  <c r="N60" i="13" s="1" a="1"/>
  <c r="N60" i="13" s="1"/>
  <c r="AE52" i="13"/>
  <c r="M70" i="13" s="1"/>
  <c r="N70" i="13" s="1" a="1"/>
  <c r="N70" i="13" s="1"/>
  <c r="AE57" i="13"/>
  <c r="M75" i="13" s="1"/>
  <c r="N75" i="13" s="1" a="1"/>
  <c r="N75" i="13" s="1"/>
  <c r="AE39" i="13"/>
  <c r="M57" i="13" s="1"/>
  <c r="N57" i="13" s="1" a="1"/>
  <c r="N57" i="13" s="1"/>
  <c r="AE58" i="13"/>
  <c r="M76" i="13" s="1"/>
  <c r="N76" i="13" s="1" a="1"/>
  <c r="N76" i="13" s="1"/>
  <c r="AE45" i="13"/>
  <c r="M63" i="13" s="1"/>
  <c r="N63" i="13" s="1" a="1"/>
  <c r="N63" i="13" s="1"/>
  <c r="AE43" i="13"/>
  <c r="M61" i="13" s="1"/>
  <c r="N61" i="13" s="1" a="1"/>
  <c r="N61" i="13" s="1"/>
  <c r="AE49" i="13"/>
  <c r="M67" i="13" s="1"/>
  <c r="N67" i="13" s="1" a="1"/>
  <c r="N67" i="13" s="1"/>
  <c r="AE40" i="13"/>
  <c r="M58" i="13" s="1"/>
  <c r="N58" i="13" s="1" a="1"/>
  <c r="N58" i="13" s="1"/>
  <c r="AE48" i="13"/>
  <c r="M66" i="13" s="1"/>
  <c r="N66" i="13" s="1" a="1"/>
  <c r="N66" i="13" s="1"/>
  <c r="AE54" i="13"/>
  <c r="M72" i="13" s="1"/>
  <c r="N72" i="13" s="1" a="1"/>
  <c r="N72" i="13" s="1"/>
  <c r="M54" i="13"/>
  <c r="N54" i="13" s="1" a="1"/>
  <c r="N54" i="13" s="1"/>
  <c r="Y40" i="13"/>
  <c r="Y46" i="13"/>
  <c r="Y54" i="13"/>
  <c r="Y43" i="13"/>
  <c r="Y47" i="13"/>
  <c r="Y49" i="13"/>
  <c r="Y50" i="13"/>
  <c r="Y45" i="13"/>
  <c r="Y56" i="13"/>
  <c r="Y57" i="13"/>
  <c r="Y38" i="13"/>
  <c r="Y39" i="13"/>
  <c r="Y41" i="13"/>
  <c r="Y42" i="13"/>
  <c r="Y58" i="13"/>
  <c r="Y48" i="13"/>
  <c r="Y44" i="13"/>
  <c r="Y51" i="13"/>
  <c r="Y52" i="13"/>
  <c r="Y55" i="13"/>
  <c r="V57" i="13"/>
  <c r="V46" i="13"/>
  <c r="V51" i="13"/>
  <c r="V38" i="13"/>
  <c r="V42" i="13"/>
  <c r="V48" i="13"/>
  <c r="V44" i="13"/>
  <c r="V41" i="13"/>
  <c r="V43" i="13"/>
  <c r="V47" i="13"/>
  <c r="V49" i="13"/>
  <c r="V52" i="13"/>
  <c r="V58" i="13"/>
  <c r="U36" i="13"/>
  <c r="V45" i="13"/>
  <c r="V50" i="13"/>
  <c r="V40" i="13"/>
  <c r="V39" i="13"/>
  <c r="V54" i="13"/>
  <c r="V56" i="13"/>
  <c r="AA36" i="13"/>
  <c r="L11" i="1"/>
  <c r="L10" i="1"/>
  <c r="C32" i="27"/>
  <c r="L33" i="27"/>
  <c r="AH50" i="29"/>
  <c r="AI50" i="29"/>
  <c r="AG50" i="29"/>
  <c r="AJ50" i="29"/>
  <c r="AF51" i="29"/>
  <c r="AV45" i="29"/>
  <c r="AW45" i="29"/>
  <c r="AX45" i="29"/>
  <c r="K44" i="29"/>
  <c r="M44" i="29"/>
  <c r="L44" i="29"/>
  <c r="N44" i="29"/>
  <c r="J45" i="29"/>
  <c r="AU45" i="29"/>
  <c r="AS45" i="29"/>
  <c r="AR45" i="29"/>
  <c r="AT45" i="29"/>
  <c r="AQ46" i="29" a="1"/>
  <c r="AQ46" i="29" s="1"/>
  <c r="V47" i="29"/>
  <c r="Y47" i="29"/>
  <c r="X47" i="29"/>
  <c r="W47" i="29"/>
  <c r="U48" i="29"/>
  <c r="C12" i="1"/>
  <c r="B7" i="1" l="1"/>
  <c r="B36" i="27"/>
  <c r="B8" i="1"/>
  <c r="B34" i="27"/>
  <c r="B10" i="1"/>
  <c r="B11" i="1"/>
  <c r="B32" i="27"/>
  <c r="L12" i="1"/>
  <c r="C31" i="27"/>
  <c r="B31" i="27" s="1"/>
  <c r="L32" i="27"/>
  <c r="AH51" i="29"/>
  <c r="AI51" i="29"/>
  <c r="AG51" i="29"/>
  <c r="AJ51" i="29"/>
  <c r="AF52" i="29"/>
  <c r="AV46" i="29"/>
  <c r="AW46" i="29"/>
  <c r="AX46" i="29"/>
  <c r="AT46" i="29"/>
  <c r="AU46" i="29"/>
  <c r="AR46" i="29"/>
  <c r="AS46" i="29"/>
  <c r="AQ47" i="29" a="1"/>
  <c r="AQ47" i="29" s="1"/>
  <c r="L45" i="29"/>
  <c r="N45" i="29"/>
  <c r="K45" i="29"/>
  <c r="M45" i="29"/>
  <c r="J46" i="29"/>
  <c r="V48" i="29"/>
  <c r="W48" i="29"/>
  <c r="X48" i="29"/>
  <c r="Y48" i="29"/>
  <c r="U49" i="29"/>
  <c r="C13" i="1"/>
  <c r="L13" i="1" l="1"/>
  <c r="B13" i="1"/>
  <c r="C30" i="27"/>
  <c r="B30" i="27" s="1"/>
  <c r="L31" i="27"/>
  <c r="AJ52" i="29"/>
  <c r="AI52" i="29"/>
  <c r="AG52" i="29"/>
  <c r="AH52" i="29"/>
  <c r="AF53" i="29"/>
  <c r="AV47" i="29"/>
  <c r="AW47" i="29"/>
  <c r="AX47" i="29"/>
  <c r="V49" i="29"/>
  <c r="W49" i="29"/>
  <c r="X49" i="29"/>
  <c r="Y49" i="29"/>
  <c r="U50" i="29"/>
  <c r="K46" i="29"/>
  <c r="M46" i="29"/>
  <c r="N46" i="29"/>
  <c r="L46" i="29"/>
  <c r="J47" i="29"/>
  <c r="AT47" i="29"/>
  <c r="AR47" i="29"/>
  <c r="AS47" i="29"/>
  <c r="AU47" i="29"/>
  <c r="AQ48" i="29" a="1"/>
  <c r="AQ48" i="29" s="1"/>
  <c r="C14" i="1"/>
  <c r="L14" i="1" l="1"/>
  <c r="B14" i="1"/>
  <c r="C29" i="27"/>
  <c r="B29" i="27" s="1"/>
  <c r="L30" i="27"/>
  <c r="AI53" i="29"/>
  <c r="AG53" i="29"/>
  <c r="AH53" i="29"/>
  <c r="AJ53" i="29"/>
  <c r="AF54" i="29"/>
  <c r="AV48" i="29"/>
  <c r="AW48" i="29"/>
  <c r="AX48" i="29"/>
  <c r="AT48" i="29"/>
  <c r="AR48" i="29"/>
  <c r="AU48" i="29"/>
  <c r="AS48" i="29"/>
  <c r="AQ49" i="29" a="1"/>
  <c r="AQ49" i="29" s="1"/>
  <c r="L47" i="29"/>
  <c r="N47" i="29"/>
  <c r="M47" i="29"/>
  <c r="K47" i="29"/>
  <c r="J48" i="29"/>
  <c r="W50" i="29"/>
  <c r="V50" i="29"/>
  <c r="X50" i="29"/>
  <c r="Y50" i="29"/>
  <c r="U51" i="29"/>
  <c r="C15" i="1"/>
  <c r="L15" i="1" l="1"/>
  <c r="B15" i="1"/>
  <c r="C28" i="27"/>
  <c r="B28" i="27" s="1"/>
  <c r="L29" i="27"/>
  <c r="AJ54" i="29"/>
  <c r="AI54" i="29"/>
  <c r="AH54" i="29"/>
  <c r="AG54" i="29"/>
  <c r="AF55" i="29"/>
  <c r="AV49" i="29"/>
  <c r="AW49" i="29"/>
  <c r="AX49" i="29"/>
  <c r="K48" i="29"/>
  <c r="M48" i="29"/>
  <c r="N48" i="29"/>
  <c r="L48" i="29"/>
  <c r="J49" i="29"/>
  <c r="AR49" i="29"/>
  <c r="AS49" i="29"/>
  <c r="AU49" i="29"/>
  <c r="AT49" i="29"/>
  <c r="AQ50" i="29" a="1"/>
  <c r="AQ50" i="29" s="1"/>
  <c r="W51" i="29"/>
  <c r="Y51" i="29"/>
  <c r="V51" i="29"/>
  <c r="X51" i="29"/>
  <c r="U52" i="29"/>
  <c r="C16" i="1"/>
  <c r="L16" i="1" l="1"/>
  <c r="B16" i="1"/>
  <c r="C27" i="27"/>
  <c r="B27" i="27" s="1"/>
  <c r="L28" i="27"/>
  <c r="AG55" i="29"/>
  <c r="AH55" i="29"/>
  <c r="AI55" i="29"/>
  <c r="AJ55" i="29"/>
  <c r="AF56" i="29"/>
  <c r="AV50" i="29"/>
  <c r="AX50" i="29"/>
  <c r="AW50" i="29"/>
  <c r="X52" i="29"/>
  <c r="Y52" i="29"/>
  <c r="W52" i="29"/>
  <c r="V52" i="29"/>
  <c r="U53" i="29"/>
  <c r="AS50" i="29"/>
  <c r="AR50" i="29"/>
  <c r="AT50" i="29"/>
  <c r="AU50" i="29"/>
  <c r="AQ51" i="29" a="1"/>
  <c r="AQ51" i="29" s="1"/>
  <c r="L49" i="29"/>
  <c r="N49" i="29"/>
  <c r="M49" i="29"/>
  <c r="K49" i="29"/>
  <c r="J50" i="29"/>
  <c r="C17" i="1"/>
  <c r="L17" i="1" l="1"/>
  <c r="B17" i="1"/>
  <c r="C26" i="27"/>
  <c r="B26" i="27" s="1"/>
  <c r="L27" i="27"/>
  <c r="AJ56" i="29"/>
  <c r="AI56" i="29"/>
  <c r="AG56" i="29"/>
  <c r="AH56" i="29"/>
  <c r="AF57" i="29"/>
  <c r="AV51" i="29"/>
  <c r="AX51" i="29"/>
  <c r="AW51" i="29"/>
  <c r="AR51" i="29"/>
  <c r="AS51" i="29"/>
  <c r="AU51" i="29"/>
  <c r="AT51" i="29"/>
  <c r="AQ52" i="29" a="1"/>
  <c r="AQ52" i="29" s="1"/>
  <c r="Y53" i="29"/>
  <c r="V53" i="29"/>
  <c r="X53" i="29"/>
  <c r="W53" i="29"/>
  <c r="U54" i="29"/>
  <c r="K50" i="29"/>
  <c r="M50" i="29"/>
  <c r="L50" i="29"/>
  <c r="N50" i="29"/>
  <c r="J51" i="29"/>
  <c r="C18" i="1"/>
  <c r="L18" i="1" l="1"/>
  <c r="B18" i="1"/>
  <c r="C25" i="27"/>
  <c r="B25" i="27" s="1"/>
  <c r="L26" i="27"/>
  <c r="AH57" i="29"/>
  <c r="AG57" i="29"/>
  <c r="AI57" i="29"/>
  <c r="AJ57" i="29"/>
  <c r="AF58" i="29"/>
  <c r="AV52" i="29"/>
  <c r="AW52" i="29"/>
  <c r="AX52" i="29"/>
  <c r="N51" i="29"/>
  <c r="L51" i="29"/>
  <c r="M51" i="29"/>
  <c r="K51" i="29"/>
  <c r="J52" i="29"/>
  <c r="W54" i="29"/>
  <c r="V54" i="29"/>
  <c r="Y54" i="29"/>
  <c r="X54" i="29"/>
  <c r="U55" i="29"/>
  <c r="AU52" i="29"/>
  <c r="AR52" i="29"/>
  <c r="AT52" i="29"/>
  <c r="AS52" i="29"/>
  <c r="AQ53" i="29" a="1"/>
  <c r="AQ53" i="29" s="1"/>
  <c r="C19" i="1"/>
  <c r="L19" i="1" l="1"/>
  <c r="B19" i="1"/>
  <c r="C24" i="27"/>
  <c r="B24" i="27" s="1"/>
  <c r="L25" i="27"/>
  <c r="AG58" i="29"/>
  <c r="AJ58" i="29"/>
  <c r="AI58" i="29"/>
  <c r="AH58" i="29"/>
  <c r="AF59" i="29"/>
  <c r="AV53" i="29"/>
  <c r="AW53" i="29"/>
  <c r="AX53" i="29"/>
  <c r="X55" i="29"/>
  <c r="V55" i="29"/>
  <c r="W55" i="29"/>
  <c r="Y55" i="29"/>
  <c r="U56" i="29"/>
  <c r="M52" i="29"/>
  <c r="K52" i="29"/>
  <c r="L52" i="29"/>
  <c r="N52" i="29"/>
  <c r="J53" i="29"/>
  <c r="AU53" i="29"/>
  <c r="AT53" i="29"/>
  <c r="AR53" i="29"/>
  <c r="AS53" i="29"/>
  <c r="AQ54" i="29" a="1"/>
  <c r="AQ54" i="29" s="1"/>
  <c r="C20" i="1"/>
  <c r="L20" i="1" l="1"/>
  <c r="B20" i="1"/>
  <c r="C23" i="27"/>
  <c r="B23" i="27" s="1"/>
  <c r="L24" i="27"/>
  <c r="AJ59" i="29"/>
  <c r="AG59" i="29"/>
  <c r="AI59" i="29"/>
  <c r="AH59" i="29"/>
  <c r="AF60" i="29"/>
  <c r="AV54" i="29"/>
  <c r="AW54" i="29"/>
  <c r="AX54" i="29"/>
  <c r="AU54" i="29"/>
  <c r="AR54" i="29"/>
  <c r="AT54" i="29"/>
  <c r="AS54" i="29"/>
  <c r="AQ55" i="29" a="1"/>
  <c r="AQ55" i="29" s="1"/>
  <c r="L53" i="29"/>
  <c r="N53" i="29"/>
  <c r="K53" i="29"/>
  <c r="M53" i="29"/>
  <c r="J54" i="29"/>
  <c r="Y56" i="29"/>
  <c r="X56" i="29"/>
  <c r="V56" i="29"/>
  <c r="W56" i="29"/>
  <c r="U57" i="29"/>
  <c r="C21" i="1"/>
  <c r="L21" i="1" l="1"/>
  <c r="B21" i="1"/>
  <c r="C22" i="27"/>
  <c r="B22" i="27" s="1"/>
  <c r="L23" i="27"/>
  <c r="AG60" i="29"/>
  <c r="AH60" i="29"/>
  <c r="AI60" i="29"/>
  <c r="AJ60" i="29"/>
  <c r="AF61" i="29"/>
  <c r="AV55" i="29"/>
  <c r="AW55" i="29"/>
  <c r="AX55" i="29"/>
  <c r="W57" i="29"/>
  <c r="Y57" i="29"/>
  <c r="V57" i="29"/>
  <c r="X57" i="29"/>
  <c r="U58" i="29"/>
  <c r="K54" i="29"/>
  <c r="M54" i="29"/>
  <c r="L54" i="29"/>
  <c r="N54" i="29"/>
  <c r="J55" i="29"/>
  <c r="AR55" i="29"/>
  <c r="AT55" i="29"/>
  <c r="AU55" i="29"/>
  <c r="AS55" i="29"/>
  <c r="AQ56" i="29" a="1"/>
  <c r="AQ56" i="29" s="1"/>
  <c r="C22" i="1"/>
  <c r="L22" i="1" l="1"/>
  <c r="B22" i="1"/>
  <c r="C21" i="27"/>
  <c r="B21" i="27" s="1"/>
  <c r="L22" i="27"/>
  <c r="AF62" i="29"/>
  <c r="AG61" i="29"/>
  <c r="AJ61" i="29"/>
  <c r="AH61" i="29"/>
  <c r="AI61" i="29"/>
  <c r="AV56" i="29"/>
  <c r="AW56" i="29"/>
  <c r="AX56" i="29"/>
  <c r="AT56" i="29"/>
  <c r="AS56" i="29"/>
  <c r="AU56" i="29"/>
  <c r="AR56" i="29"/>
  <c r="AQ57" i="29" a="1"/>
  <c r="AQ57" i="29" s="1"/>
  <c r="L55" i="29"/>
  <c r="N55" i="29"/>
  <c r="K55" i="29"/>
  <c r="M55" i="29"/>
  <c r="J56" i="29"/>
  <c r="V58" i="29"/>
  <c r="W58" i="29"/>
  <c r="Y58" i="29"/>
  <c r="X58" i="29"/>
  <c r="U59" i="29"/>
  <c r="C23" i="1"/>
  <c r="L23" i="1" l="1"/>
  <c r="B23" i="1"/>
  <c r="C20" i="27"/>
  <c r="B20" i="27" s="1"/>
  <c r="L21" i="27"/>
  <c r="AH62" i="29"/>
  <c r="AJ62" i="29"/>
  <c r="AG62" i="29"/>
  <c r="AI62" i="29"/>
  <c r="AV57" i="29"/>
  <c r="AX57" i="29"/>
  <c r="AW57" i="29"/>
  <c r="X59" i="29"/>
  <c r="Y59" i="29"/>
  <c r="V59" i="29"/>
  <c r="W59" i="29"/>
  <c r="U60" i="29"/>
  <c r="K56" i="29"/>
  <c r="M56" i="29"/>
  <c r="L56" i="29"/>
  <c r="N56" i="29"/>
  <c r="J57" i="29"/>
  <c r="AR57" i="29"/>
  <c r="AT57" i="29"/>
  <c r="AS57" i="29"/>
  <c r="AU57" i="29"/>
  <c r="AQ58" i="29" a="1"/>
  <c r="AQ58" i="29" s="1"/>
  <c r="C24" i="1"/>
  <c r="L24" i="1" l="1"/>
  <c r="B24" i="1"/>
  <c r="C19" i="27"/>
  <c r="B19" i="27" s="1"/>
  <c r="L20" i="27"/>
  <c r="AV58" i="29"/>
  <c r="AW58" i="29"/>
  <c r="AX58" i="29"/>
  <c r="AR58" i="29"/>
  <c r="AT58" i="29"/>
  <c r="AS58" i="29"/>
  <c r="AU58" i="29"/>
  <c r="AQ59" i="29" a="1"/>
  <c r="AQ59" i="29" s="1"/>
  <c r="M57" i="29"/>
  <c r="K57" i="29"/>
  <c r="N57" i="29"/>
  <c r="L57" i="29"/>
  <c r="J58" i="29"/>
  <c r="V60" i="29"/>
  <c r="X60" i="29"/>
  <c r="W60" i="29"/>
  <c r="Y60" i="29"/>
  <c r="U61" i="29"/>
  <c r="C25" i="1"/>
  <c r="L25" i="1" l="1"/>
  <c r="B25" i="1"/>
  <c r="C18" i="27"/>
  <c r="B18" i="27" s="1"/>
  <c r="L19" i="27"/>
  <c r="AV59" i="29"/>
  <c r="AX59" i="29"/>
  <c r="AW59" i="29"/>
  <c r="V61" i="29"/>
  <c r="W61" i="29"/>
  <c r="Y61" i="29"/>
  <c r="X61" i="29"/>
  <c r="U62" i="29"/>
  <c r="M58" i="29"/>
  <c r="K58" i="29"/>
  <c r="N58" i="29"/>
  <c r="L58" i="29"/>
  <c r="J59" i="29"/>
  <c r="AR59" i="29"/>
  <c r="AS59" i="29"/>
  <c r="AT59" i="29"/>
  <c r="AU59" i="29"/>
  <c r="AQ60" i="29" a="1"/>
  <c r="AQ60" i="29" s="1"/>
  <c r="C26" i="1"/>
  <c r="B33" i="27" l="1"/>
  <c r="B12" i="1"/>
  <c r="B35" i="27"/>
  <c r="B6" i="1"/>
  <c r="L26" i="1"/>
  <c r="B26" i="1"/>
  <c r="C17" i="27"/>
  <c r="B17" i="27" s="1"/>
  <c r="L18" i="27"/>
  <c r="AV60" i="29"/>
  <c r="AW60" i="29"/>
  <c r="AX60" i="29"/>
  <c r="AU60" i="29"/>
  <c r="AT60" i="29"/>
  <c r="AS60" i="29"/>
  <c r="AR60" i="29"/>
  <c r="AQ61" i="29" a="1"/>
  <c r="AQ61" i="29" s="1"/>
  <c r="M59" i="29"/>
  <c r="K59" i="29"/>
  <c r="L59" i="29"/>
  <c r="N59" i="29"/>
  <c r="J60" i="29"/>
  <c r="X62" i="29"/>
  <c r="W62" i="29"/>
  <c r="Y62" i="29"/>
  <c r="V62" i="29"/>
  <c r="C27" i="1"/>
  <c r="L27" i="1" l="1"/>
  <c r="B27" i="1"/>
  <c r="C16" i="27"/>
  <c r="B16" i="27" s="1"/>
  <c r="L17" i="27"/>
  <c r="AV61" i="29"/>
  <c r="AW61" i="29"/>
  <c r="AX61" i="29"/>
  <c r="N60" i="29"/>
  <c r="K60" i="29"/>
  <c r="M60" i="29"/>
  <c r="L60" i="29"/>
  <c r="J61" i="29"/>
  <c r="AT61" i="29"/>
  <c r="AR61" i="29"/>
  <c r="AS61" i="29"/>
  <c r="AU61" i="29"/>
  <c r="AQ62" i="29" a="1"/>
  <c r="AQ62" i="29" s="1"/>
  <c r="C28" i="1"/>
  <c r="L28" i="1" l="1"/>
  <c r="B28" i="1"/>
  <c r="C15" i="27"/>
  <c r="B15" i="27" s="1"/>
  <c r="L16" i="27"/>
  <c r="AW62" i="29"/>
  <c r="AX62" i="29"/>
  <c r="AV62" i="29"/>
  <c r="AR62" i="29"/>
  <c r="AT62" i="29"/>
  <c r="AS62" i="29"/>
  <c r="AU62" i="29"/>
  <c r="L61" i="29"/>
  <c r="M61" i="29"/>
  <c r="N61" i="29"/>
  <c r="K61" i="29"/>
  <c r="J62" i="29"/>
  <c r="B15" i="29" s="1" a="1"/>
  <c r="B15" i="29" s="1"/>
  <c r="B16" i="29" s="1" a="1"/>
  <c r="B16" i="29" s="1"/>
  <c r="B17" i="29" s="1" a="1"/>
  <c r="B17" i="29" s="1"/>
  <c r="C29" i="1"/>
  <c r="L29" i="1" l="1"/>
  <c r="B29" i="1"/>
  <c r="C14" i="27"/>
  <c r="B14" i="27" s="1"/>
  <c r="L15" i="27"/>
  <c r="B18" i="29" a="1"/>
  <c r="B18" i="29" s="1"/>
  <c r="B19" i="29" s="1" a="1"/>
  <c r="B19" i="29" s="1"/>
  <c r="B20" i="29" s="1" a="1"/>
  <c r="B20" i="29" s="1"/>
  <c r="B21" i="29" s="1" a="1"/>
  <c r="B21" i="29" s="1"/>
  <c r="B22" i="29" s="1" a="1"/>
  <c r="B22" i="29" s="1"/>
  <c r="B23" i="29" s="1" a="1"/>
  <c r="B23" i="29" s="1"/>
  <c r="B24" i="29" s="1" a="1"/>
  <c r="B24" i="29" s="1"/>
  <c r="B25" i="29" s="1" a="1"/>
  <c r="B25" i="29" s="1"/>
  <c r="B26" i="29" s="1" a="1"/>
  <c r="B26" i="29" s="1"/>
  <c r="B27" i="29" s="1" a="1"/>
  <c r="B27" i="29" s="1"/>
  <c r="B28" i="29" s="1" a="1"/>
  <c r="B28" i="29" s="1"/>
  <c r="B29" i="29" s="1" a="1"/>
  <c r="B29" i="29" s="1"/>
  <c r="B30" i="29" s="1" a="1"/>
  <c r="B30" i="29" s="1"/>
  <c r="B31" i="29" s="1" a="1"/>
  <c r="B31" i="29" s="1"/>
  <c r="B32" i="29" s="1" a="1"/>
  <c r="B32" i="29" s="1"/>
  <c r="B33" i="29" s="1" a="1"/>
  <c r="B33" i="29" s="1"/>
  <c r="B34" i="29" s="1" a="1"/>
  <c r="B34" i="29" s="1"/>
  <c r="B35" i="29" s="1" a="1"/>
  <c r="B35" i="29" s="1"/>
  <c r="B36" i="29" s="1" a="1"/>
  <c r="B36" i="29" s="1"/>
  <c r="B37" i="29" s="1" a="1"/>
  <c r="B37" i="29" s="1"/>
  <c r="B38" i="29" s="1" a="1"/>
  <c r="B38" i="29" s="1"/>
  <c r="B39" i="29" s="1" a="1"/>
  <c r="B39" i="29" s="1"/>
  <c r="B40" i="29" s="1" a="1"/>
  <c r="B40" i="29" s="1"/>
  <c r="B41" i="29" s="1" a="1"/>
  <c r="B41" i="29" s="1"/>
  <c r="B42" i="29" s="1" a="1"/>
  <c r="B42" i="29" s="1"/>
  <c r="B43" i="29" s="1" a="1"/>
  <c r="B43" i="29" s="1"/>
  <c r="B44" i="29" s="1" a="1"/>
  <c r="B44" i="29" s="1"/>
  <c r="B45" i="29" s="1" a="1"/>
  <c r="B45" i="29" s="1"/>
  <c r="B46" i="29" s="1" a="1"/>
  <c r="B46" i="29" s="1"/>
  <c r="B47" i="29" s="1" a="1"/>
  <c r="B47" i="29" s="1"/>
  <c r="B48" i="29" s="1" a="1"/>
  <c r="B48" i="29" s="1"/>
  <c r="B49" i="29" s="1" a="1"/>
  <c r="B49" i="29" s="1"/>
  <c r="B50" i="29" s="1" a="1"/>
  <c r="B50" i="29" s="1"/>
  <c r="B51" i="29" s="1" a="1"/>
  <c r="B51" i="29" s="1"/>
  <c r="B52" i="29" s="1" a="1"/>
  <c r="B52" i="29" s="1"/>
  <c r="B53" i="29" s="1" a="1"/>
  <c r="B53" i="29" s="1"/>
  <c r="B54" i="29" s="1" a="1"/>
  <c r="B54" i="29" s="1"/>
  <c r="B55" i="29" s="1" a="1"/>
  <c r="B55" i="29" s="1"/>
  <c r="B56" i="29" s="1" a="1"/>
  <c r="B56" i="29" s="1"/>
  <c r="B57" i="29" s="1" a="1"/>
  <c r="B57" i="29" s="1"/>
  <c r="B58" i="29" s="1" a="1"/>
  <c r="B58" i="29" s="1"/>
  <c r="B59" i="29" s="1" a="1"/>
  <c r="B59" i="29" s="1"/>
  <c r="B60" i="29" s="1" a="1"/>
  <c r="B60" i="29" s="1"/>
  <c r="B61" i="29" s="1" a="1"/>
  <c r="B61" i="29" s="1"/>
  <c r="B62" i="29" s="1" a="1"/>
  <c r="B62" i="29" s="1"/>
  <c r="K62" i="29"/>
  <c r="N62" i="29"/>
  <c r="M62" i="29"/>
  <c r="L62" i="29"/>
  <c r="C30" i="1"/>
  <c r="L30" i="1" l="1"/>
  <c r="B30" i="1"/>
  <c r="C13" i="27"/>
  <c r="B13" i="27" s="1"/>
  <c r="L14" i="27"/>
  <c r="C31" i="1"/>
  <c r="L31" i="1" l="1"/>
  <c r="B31" i="1"/>
  <c r="C12" i="27"/>
  <c r="B12" i="27" s="1"/>
  <c r="L13" i="27"/>
  <c r="C32" i="1"/>
  <c r="L32" i="1" l="1"/>
  <c r="B32" i="1"/>
  <c r="C11" i="27"/>
  <c r="B11" i="27" s="1"/>
  <c r="L12" i="27"/>
  <c r="C33" i="1"/>
  <c r="L33" i="1" l="1"/>
  <c r="B33" i="1"/>
  <c r="C10" i="27"/>
  <c r="B10" i="27" s="1"/>
  <c r="L11" i="27"/>
  <c r="C34" i="1"/>
  <c r="L34" i="1" l="1"/>
  <c r="B34" i="1"/>
  <c r="C9" i="27"/>
  <c r="B9" i="27" s="1"/>
  <c r="L10" i="27"/>
  <c r="C35" i="1"/>
  <c r="B35" i="1" s="1"/>
  <c r="C6" i="14" l="1"/>
  <c r="L35" i="1"/>
  <c r="C8" i="27"/>
  <c r="L9" i="27"/>
  <c r="C7" i="14"/>
  <c r="C36" i="1"/>
  <c r="L36" i="1" l="1"/>
  <c r="L37" i="1" s="1"/>
  <c r="B36" i="1"/>
  <c r="L8" i="27"/>
  <c r="B8" i="27"/>
  <c r="L6" i="14"/>
  <c r="B6" i="14"/>
  <c r="L7" i="14"/>
  <c r="B7" i="14"/>
  <c r="C8" i="14"/>
  <c r="L8" i="14" l="1"/>
  <c r="B8" i="14"/>
  <c r="C9" i="14"/>
  <c r="L9" i="14" l="1"/>
  <c r="B9" i="14"/>
  <c r="C10" i="14"/>
  <c r="B3" i="1"/>
  <c r="D51" i="1"/>
  <c r="L51" i="1"/>
  <c r="F51" i="1"/>
  <c r="J51" i="1"/>
  <c r="K51" i="1"/>
  <c r="H51" i="1"/>
  <c r="E51" i="1"/>
  <c r="I51" i="1"/>
  <c r="G51" i="1"/>
  <c r="L10" i="14" l="1"/>
  <c r="B10" i="14"/>
  <c r="D52" i="1"/>
  <c r="M51" i="1"/>
  <c r="C11" i="14"/>
  <c r="I52" i="1"/>
  <c r="G52" i="1"/>
  <c r="H52" i="1"/>
  <c r="H53" i="1" s="1"/>
  <c r="K52" i="1"/>
  <c r="K53" i="1" s="1"/>
  <c r="E52" i="1"/>
  <c r="L52" i="1"/>
  <c r="J52" i="1"/>
  <c r="F52" i="1"/>
  <c r="F53" i="1" s="1"/>
  <c r="F54" i="1" s="1"/>
  <c r="L11" i="14" l="1"/>
  <c r="B11" i="14"/>
  <c r="D53" i="1"/>
  <c r="M52" i="1"/>
  <c r="C12" i="14"/>
  <c r="L53" i="1"/>
  <c r="L54" i="1" s="1"/>
  <c r="L55" i="1" s="1"/>
  <c r="H54" i="1"/>
  <c r="N52" i="1"/>
  <c r="K54" i="1"/>
  <c r="K55" i="1" s="1"/>
  <c r="I53" i="1"/>
  <c r="I54" i="1" s="1"/>
  <c r="I55" i="1" s="1"/>
  <c r="J53" i="1"/>
  <c r="J54" i="1" s="1"/>
  <c r="F55" i="1"/>
  <c r="F57" i="1" s="1"/>
  <c r="F59" i="1" s="1"/>
  <c r="N51" i="1"/>
  <c r="G53" i="1"/>
  <c r="E53" i="1"/>
  <c r="L12" i="14" l="1"/>
  <c r="B12" i="14"/>
  <c r="M53" i="1"/>
  <c r="D54" i="1"/>
  <c r="C13" i="14"/>
  <c r="I57" i="1"/>
  <c r="I59" i="1" s="1"/>
  <c r="K57" i="1"/>
  <c r="K59" i="1" s="1"/>
  <c r="L57" i="1"/>
  <c r="L59" i="1" s="1"/>
  <c r="E54" i="1"/>
  <c r="E55" i="1" s="1"/>
  <c r="H55" i="1"/>
  <c r="H57" i="1" s="1"/>
  <c r="H59" i="1" s="1"/>
  <c r="G54" i="1"/>
  <c r="G55" i="1" s="1"/>
  <c r="J55" i="1"/>
  <c r="J57" i="1" s="1"/>
  <c r="J59" i="1" s="1"/>
  <c r="L13" i="14" l="1"/>
  <c r="B13" i="14"/>
  <c r="D55" i="1"/>
  <c r="M54" i="1"/>
  <c r="N54" i="1" s="1"/>
  <c r="C14" i="14"/>
  <c r="E57" i="1"/>
  <c r="E59" i="1" s="1"/>
  <c r="G57" i="1"/>
  <c r="G59" i="1" s="1"/>
  <c r="N53" i="1"/>
  <c r="L14" i="14" l="1"/>
  <c r="B14" i="14"/>
  <c r="D57" i="1"/>
  <c r="M55" i="1"/>
  <c r="M57" i="1" s="1"/>
  <c r="M59" i="1" s="1"/>
  <c r="C15" i="14"/>
  <c r="M50" i="14" l="1"/>
  <c r="L15" i="14"/>
  <c r="B15" i="14"/>
  <c r="N55" i="1"/>
  <c r="N57" i="1" s="1"/>
  <c r="C16" i="14"/>
  <c r="L16" i="14" l="1"/>
  <c r="B16" i="14"/>
  <c r="C17" i="14"/>
  <c r="L17" i="14" l="1"/>
  <c r="B17" i="14"/>
  <c r="C18" i="14"/>
  <c r="L18" i="14" l="1"/>
  <c r="B18" i="14"/>
  <c r="C19" i="14"/>
  <c r="L19" i="14" l="1"/>
  <c r="B19" i="14"/>
  <c r="C20" i="14"/>
  <c r="L20" i="14" l="1"/>
  <c r="B20" i="14"/>
  <c r="C21" i="14"/>
  <c r="L21" i="14" l="1"/>
  <c r="B21" i="14"/>
  <c r="C22" i="14"/>
  <c r="L22" i="14" l="1"/>
  <c r="B22" i="14"/>
  <c r="C23" i="14"/>
  <c r="L23" i="14" l="1"/>
  <c r="B23" i="14"/>
  <c r="C24" i="14"/>
  <c r="L24" i="14" l="1"/>
  <c r="B24" i="14"/>
  <c r="C25" i="14"/>
  <c r="L25" i="14" l="1"/>
  <c r="B25" i="14"/>
  <c r="C26" i="14"/>
  <c r="L26" i="14" l="1"/>
  <c r="B26" i="14"/>
  <c r="C27" i="14"/>
  <c r="L27" i="14" l="1"/>
  <c r="B27" i="14"/>
  <c r="C28" i="14"/>
  <c r="L28" i="14" l="1"/>
  <c r="B28" i="14"/>
  <c r="C29" i="14"/>
  <c r="L29" i="14" l="1"/>
  <c r="B29" i="14"/>
  <c r="C30" i="14"/>
  <c r="L30" i="14" l="1"/>
  <c r="B30" i="14"/>
  <c r="C31" i="14"/>
  <c r="L31" i="14" l="1"/>
  <c r="B31" i="14"/>
  <c r="C32" i="14"/>
  <c r="L32" i="14" l="1"/>
  <c r="B32" i="14"/>
  <c r="C33" i="14"/>
  <c r="L33" i="14" l="1"/>
  <c r="B33" i="14"/>
  <c r="C34" i="14"/>
  <c r="L34" i="14" l="1"/>
  <c r="B34" i="14"/>
  <c r="C35" i="14"/>
  <c r="L35" i="14" l="1"/>
  <c r="B35" i="14"/>
  <c r="C36" i="14"/>
  <c r="D51" i="14"/>
  <c r="J51" i="14"/>
  <c r="F51" i="14"/>
  <c r="F52" i="14" s="1"/>
  <c r="K51" i="14"/>
  <c r="I51" i="14"/>
  <c r="H51" i="14"/>
  <c r="H52" i="14" s="1"/>
  <c r="H53" i="14" s="1"/>
  <c r="E51" i="14"/>
  <c r="G51" i="14"/>
  <c r="L36" i="14" l="1"/>
  <c r="B36" i="14"/>
  <c r="G52" i="14"/>
  <c r="G53" i="14" s="1"/>
  <c r="G54" i="14" s="1"/>
  <c r="G55" i="14" s="1"/>
  <c r="J52" i="14"/>
  <c r="J53" i="14" s="1"/>
  <c r="J54" i="14" s="1"/>
  <c r="J55" i="14" s="1"/>
  <c r="C6" i="15"/>
  <c r="B3" i="14"/>
  <c r="K52" i="14"/>
  <c r="K53" i="14" s="1"/>
  <c r="K54" i="14" s="1"/>
  <c r="D52" i="14"/>
  <c r="I52" i="14"/>
  <c r="F53" i="14"/>
  <c r="F54" i="14" s="1"/>
  <c r="F55" i="14" s="1"/>
  <c r="F57" i="14" s="1"/>
  <c r="F59" i="14" s="1"/>
  <c r="E52" i="14"/>
  <c r="E53" i="14" s="1"/>
  <c r="H54" i="14"/>
  <c r="H55" i="14" s="1"/>
  <c r="H57" i="14" s="1"/>
  <c r="H59" i="14" s="1"/>
  <c r="L37" i="14" l="1"/>
  <c r="L51" i="14"/>
  <c r="L52" i="14" s="1"/>
  <c r="L53" i="14" s="1"/>
  <c r="L54" i="14" s="1"/>
  <c r="L55" i="14" s="1"/>
  <c r="L6" i="15"/>
  <c r="B6" i="15"/>
  <c r="M51" i="14"/>
  <c r="I53" i="14"/>
  <c r="I54" i="14" s="1"/>
  <c r="I55" i="14" s="1"/>
  <c r="G57" i="14"/>
  <c r="G59" i="14" s="1"/>
  <c r="C7" i="15"/>
  <c r="E54" i="14"/>
  <c r="E55" i="14" s="1"/>
  <c r="E57" i="14" s="1"/>
  <c r="E59" i="14" s="1"/>
  <c r="J57" i="14"/>
  <c r="J59" i="14" s="1"/>
  <c r="D53" i="14"/>
  <c r="D54" i="14" s="1"/>
  <c r="K55" i="14"/>
  <c r="K57" i="14" s="1"/>
  <c r="K59" i="14" s="1"/>
  <c r="N51" i="14" l="1"/>
  <c r="L7" i="15"/>
  <c r="B7" i="15"/>
  <c r="M52" i="14"/>
  <c r="N52" i="14" s="1"/>
  <c r="M53" i="14"/>
  <c r="I57" i="14"/>
  <c r="I59" i="14" s="1"/>
  <c r="D55" i="14"/>
  <c r="L57" i="14"/>
  <c r="L59" i="14" s="1"/>
  <c r="C8" i="15"/>
  <c r="L8" i="15" l="1"/>
  <c r="B8" i="15"/>
  <c r="N53" i="14"/>
  <c r="M54" i="14"/>
  <c r="N54" i="14" s="1"/>
  <c r="D57" i="14"/>
  <c r="C9" i="15"/>
  <c r="L9" i="15" l="1"/>
  <c r="B9" i="15"/>
  <c r="M55" i="14"/>
  <c r="M57" i="14" s="1"/>
  <c r="M59" i="14" s="1"/>
  <c r="C10" i="15"/>
  <c r="L10" i="15" l="1"/>
  <c r="B10" i="15"/>
  <c r="N55" i="14"/>
  <c r="N57" i="14" s="1"/>
  <c r="M50" i="15"/>
  <c r="C11" i="15"/>
  <c r="L11" i="15" l="1"/>
  <c r="B11" i="15"/>
  <c r="C12" i="15"/>
  <c r="L12" i="15" l="1"/>
  <c r="B12" i="15"/>
  <c r="C13" i="15"/>
  <c r="L13" i="15" l="1"/>
  <c r="B13" i="15"/>
  <c r="C14" i="15"/>
  <c r="L14" i="15" l="1"/>
  <c r="B14" i="15"/>
  <c r="C15" i="15"/>
  <c r="L15" i="15" l="1"/>
  <c r="B15" i="15"/>
  <c r="C16" i="15"/>
  <c r="L16" i="15" l="1"/>
  <c r="B16" i="15"/>
  <c r="C17" i="15"/>
  <c r="L17" i="15" l="1"/>
  <c r="B17" i="15"/>
  <c r="C18" i="15"/>
  <c r="L18" i="15" l="1"/>
  <c r="B18" i="15"/>
  <c r="C19" i="15"/>
  <c r="L19" i="15" l="1"/>
  <c r="B19" i="15"/>
  <c r="C20" i="15"/>
  <c r="L20" i="15" l="1"/>
  <c r="B20" i="15"/>
  <c r="C21" i="15"/>
  <c r="L21" i="15" l="1"/>
  <c r="B21" i="15"/>
  <c r="C22" i="15"/>
  <c r="L22" i="15" l="1"/>
  <c r="B22" i="15"/>
  <c r="C23" i="15"/>
  <c r="L23" i="15" l="1"/>
  <c r="B23" i="15"/>
  <c r="C24" i="15"/>
  <c r="L24" i="15" l="1"/>
  <c r="B24" i="15"/>
  <c r="C25" i="15"/>
  <c r="L25" i="15" l="1"/>
  <c r="B25" i="15"/>
  <c r="C26" i="15"/>
  <c r="L26" i="15" l="1"/>
  <c r="B26" i="15"/>
  <c r="C27" i="15"/>
  <c r="L27" i="15" l="1"/>
  <c r="B27" i="15"/>
  <c r="C28" i="15"/>
  <c r="L28" i="15" l="1"/>
  <c r="B28" i="15"/>
  <c r="C29" i="15"/>
  <c r="L29" i="15" l="1"/>
  <c r="B29" i="15"/>
  <c r="C30" i="15"/>
  <c r="L30" i="15" l="1"/>
  <c r="B30" i="15"/>
  <c r="C31" i="15"/>
  <c r="L31" i="15" l="1"/>
  <c r="B31" i="15"/>
  <c r="C32" i="15"/>
  <c r="L32" i="15" l="1"/>
  <c r="B32" i="15"/>
  <c r="C33" i="15"/>
  <c r="L33" i="15" l="1"/>
  <c r="B33" i="15"/>
  <c r="C34" i="15"/>
  <c r="L34" i="15" l="1"/>
  <c r="B34" i="15"/>
  <c r="C35" i="15"/>
  <c r="L35" i="15" l="1"/>
  <c r="B35" i="15"/>
  <c r="C36" i="15"/>
  <c r="C6" i="16" s="1"/>
  <c r="J51" i="15"/>
  <c r="K51" i="15"/>
  <c r="E51" i="15"/>
  <c r="G51" i="15"/>
  <c r="H51" i="15"/>
  <c r="H52" i="15" s="1"/>
  <c r="I51" i="15"/>
  <c r="F51" i="15"/>
  <c r="D51" i="15"/>
  <c r="B6" i="16" l="1"/>
  <c r="C7" i="16"/>
  <c r="L6" i="16"/>
  <c r="L36" i="15"/>
  <c r="B36" i="15"/>
  <c r="G52" i="15"/>
  <c r="G53" i="15" s="1"/>
  <c r="G54" i="15" s="1"/>
  <c r="G55" i="15" s="1"/>
  <c r="E52" i="15"/>
  <c r="E53" i="15" s="1"/>
  <c r="E54" i="15" s="1"/>
  <c r="E55" i="15" s="1"/>
  <c r="K52" i="15"/>
  <c r="K53" i="15" s="1"/>
  <c r="K54" i="15" s="1"/>
  <c r="K55" i="15" s="1"/>
  <c r="K57" i="15" s="1"/>
  <c r="K59" i="15" s="1"/>
  <c r="B3" i="15"/>
  <c r="J52" i="15"/>
  <c r="J53" i="15" s="1"/>
  <c r="D52" i="15"/>
  <c r="F52" i="15"/>
  <c r="F53" i="15" s="1"/>
  <c r="F54" i="15" s="1"/>
  <c r="H53" i="15"/>
  <c r="H54" i="15" s="1"/>
  <c r="H55" i="15" s="1"/>
  <c r="H57" i="15" s="1"/>
  <c r="H59" i="15" s="1"/>
  <c r="I52" i="15"/>
  <c r="I53" i="15" s="1"/>
  <c r="L37" i="15" l="1"/>
  <c r="L51" i="15"/>
  <c r="L52" i="15" s="1"/>
  <c r="L53" i="15" s="1"/>
  <c r="L54" i="15" s="1"/>
  <c r="L55" i="15" s="1"/>
  <c r="B7" i="16"/>
  <c r="C8" i="16"/>
  <c r="L7" i="16"/>
  <c r="M52" i="15"/>
  <c r="M51" i="15"/>
  <c r="D53" i="15"/>
  <c r="F55" i="15"/>
  <c r="F57" i="15" s="1"/>
  <c r="F59" i="15" s="1"/>
  <c r="E57" i="15"/>
  <c r="E59" i="15" s="1"/>
  <c r="G57" i="15"/>
  <c r="G59" i="15" s="1"/>
  <c r="J54" i="15"/>
  <c r="J55" i="15" s="1"/>
  <c r="J57" i="15" s="1"/>
  <c r="J59" i="15" s="1"/>
  <c r="I54" i="15"/>
  <c r="I55" i="15" s="1"/>
  <c r="I57" i="15" s="1"/>
  <c r="I59" i="15" s="1"/>
  <c r="L57" i="15" l="1"/>
  <c r="L59" i="15" s="1"/>
  <c r="C9" i="16"/>
  <c r="L8" i="16"/>
  <c r="B8" i="16"/>
  <c r="N51" i="15"/>
  <c r="M53" i="15"/>
  <c r="N53" i="15" s="1"/>
  <c r="N52" i="15"/>
  <c r="D54" i="15"/>
  <c r="L9" i="16" l="1"/>
  <c r="C10" i="16"/>
  <c r="B9" i="16"/>
  <c r="M54" i="15"/>
  <c r="D55" i="15"/>
  <c r="D57" i="15" s="1"/>
  <c r="B10" i="16" l="1"/>
  <c r="L10" i="16"/>
  <c r="C11" i="16"/>
  <c r="N54" i="15"/>
  <c r="M55" i="15"/>
  <c r="M57" i="15" s="1"/>
  <c r="M59" i="15" s="1"/>
  <c r="B11" i="16" l="1"/>
  <c r="C12" i="16"/>
  <c r="L11" i="16"/>
  <c r="N55" i="15"/>
  <c r="N57" i="15" s="1"/>
  <c r="M50" i="16"/>
  <c r="C13" i="16" l="1"/>
  <c r="L12" i="16"/>
  <c r="B12" i="16"/>
  <c r="B13" i="16" l="1"/>
  <c r="C14" i="16"/>
  <c r="L13" i="16"/>
  <c r="B14" i="16" l="1"/>
  <c r="L14" i="16"/>
  <c r="C15" i="16"/>
  <c r="B15" i="16" l="1"/>
  <c r="C16" i="16"/>
  <c r="L15" i="16"/>
  <c r="C17" i="16" l="1"/>
  <c r="L16" i="16"/>
  <c r="B16" i="16"/>
  <c r="L17" i="16" l="1"/>
  <c r="B17" i="16"/>
  <c r="C18" i="16"/>
  <c r="B18" i="16" l="1"/>
  <c r="C19" i="16"/>
  <c r="L18" i="16"/>
  <c r="C20" i="16" l="1"/>
  <c r="L19" i="16"/>
  <c r="B19" i="16"/>
  <c r="C21" i="16" l="1"/>
  <c r="B20" i="16"/>
  <c r="L20" i="16"/>
  <c r="L21" i="16" l="1"/>
  <c r="C22" i="16"/>
  <c r="B21" i="16"/>
  <c r="B22" i="16" l="1"/>
  <c r="C23" i="16"/>
  <c r="L22" i="16"/>
  <c r="B23" i="16" l="1"/>
  <c r="L23" i="16"/>
  <c r="C24" i="16"/>
  <c r="C25" i="16" l="1"/>
  <c r="B24" i="16"/>
  <c r="L24" i="16"/>
  <c r="L25" i="16" l="1"/>
  <c r="C26" i="16"/>
  <c r="B25" i="16"/>
  <c r="B26" i="16" l="1"/>
  <c r="C27" i="16"/>
  <c r="L26" i="16"/>
  <c r="B27" i="16" l="1"/>
  <c r="C28" i="16"/>
  <c r="L27" i="16"/>
  <c r="C29" i="16" l="1"/>
  <c r="B28" i="16"/>
  <c r="L28" i="16"/>
  <c r="L29" i="16" l="1"/>
  <c r="B29" i="16"/>
  <c r="C30" i="16"/>
  <c r="B30" i="16" l="1"/>
  <c r="C31" i="16"/>
  <c r="L30" i="16"/>
  <c r="C32" i="16" l="1"/>
  <c r="B31" i="16"/>
  <c r="L31" i="16"/>
  <c r="C33" i="16" l="1"/>
  <c r="L32" i="16"/>
  <c r="B32" i="16"/>
  <c r="L33" i="16" l="1"/>
  <c r="C34" i="16"/>
  <c r="B33" i="16"/>
  <c r="B34" i="16" l="1"/>
  <c r="L34" i="16"/>
  <c r="C35" i="16"/>
  <c r="C36" i="16" s="1"/>
  <c r="B36" i="16" l="1"/>
  <c r="L36" i="16"/>
  <c r="F51" i="16"/>
  <c r="F52" i="16" s="1"/>
  <c r="F53" i="16" s="1"/>
  <c r="F54" i="16" s="1"/>
  <c r="F55" i="16" s="1"/>
  <c r="F57" i="16" s="1"/>
  <c r="F59" i="16" s="1"/>
  <c r="E51" i="16"/>
  <c r="E52" i="16" s="1"/>
  <c r="E53" i="16" s="1"/>
  <c r="E54" i="16" s="1"/>
  <c r="E55" i="16" s="1"/>
  <c r="E57" i="16" s="1"/>
  <c r="E59" i="16" s="1"/>
  <c r="J51" i="16"/>
  <c r="J52" i="16" s="1"/>
  <c r="J53" i="16" s="1"/>
  <c r="J54" i="16" s="1"/>
  <c r="G51" i="16"/>
  <c r="G52" i="16" s="1"/>
  <c r="G53" i="16" s="1"/>
  <c r="G54" i="16" s="1"/>
  <c r="G55" i="16" s="1"/>
  <c r="D51" i="16"/>
  <c r="K51" i="16"/>
  <c r="K52" i="16" s="1"/>
  <c r="K53" i="16" s="1"/>
  <c r="H51" i="16"/>
  <c r="H52" i="16" s="1"/>
  <c r="H53" i="16" s="1"/>
  <c r="H54" i="16" s="1"/>
  <c r="H55" i="16" s="1"/>
  <c r="I51" i="16"/>
  <c r="I52" i="16" s="1"/>
  <c r="I53" i="16" s="1"/>
  <c r="I54" i="16" s="1"/>
  <c r="B35" i="16"/>
  <c r="L35" i="16"/>
  <c r="L51" i="16" s="1"/>
  <c r="C6" i="18"/>
  <c r="B3" i="16"/>
  <c r="I55" i="16" l="1"/>
  <c r="I57" i="16" s="1"/>
  <c r="I59" i="16" s="1"/>
  <c r="B6" i="18"/>
  <c r="L6" i="18"/>
  <c r="C7" i="18"/>
  <c r="H57" i="16"/>
  <c r="H59" i="16" s="1"/>
  <c r="M51" i="16"/>
  <c r="G57" i="16"/>
  <c r="G59" i="16" s="1"/>
  <c r="K54" i="16"/>
  <c r="K55" i="16" s="1"/>
  <c r="K57" i="16" s="1"/>
  <c r="K59" i="16" s="1"/>
  <c r="L52" i="16"/>
  <c r="L53" i="16" s="1"/>
  <c r="L54" i="16" s="1"/>
  <c r="L55" i="16" s="1"/>
  <c r="L37" i="16"/>
  <c r="J55" i="16"/>
  <c r="J57" i="16" s="1"/>
  <c r="J59" i="16" s="1"/>
  <c r="D52" i="16"/>
  <c r="M52" i="16" l="1"/>
  <c r="N52" i="16" s="1"/>
  <c r="D53" i="16"/>
  <c r="M53" i="16" s="1"/>
  <c r="N53" i="16" s="1"/>
  <c r="L57" i="16"/>
  <c r="L59" i="16" s="1"/>
  <c r="N51" i="16"/>
  <c r="C8" i="18"/>
  <c r="L7" i="18"/>
  <c r="B7" i="18"/>
  <c r="D54" i="16" l="1"/>
  <c r="M54" i="16" s="1"/>
  <c r="N54" i="16" s="1"/>
  <c r="C9" i="18"/>
  <c r="L8" i="18"/>
  <c r="B8" i="18"/>
  <c r="D55" i="16" l="1"/>
  <c r="M55" i="16" s="1"/>
  <c r="M57" i="16" s="1"/>
  <c r="M59" i="16" s="1"/>
  <c r="L9" i="18"/>
  <c r="B9" i="18"/>
  <c r="C10" i="18"/>
  <c r="M50" i="18" l="1"/>
  <c r="N55" i="16"/>
  <c r="N57" i="16" s="1"/>
  <c r="D57" i="16"/>
  <c r="L10" i="18"/>
  <c r="C11" i="18"/>
  <c r="B10" i="18"/>
  <c r="L11" i="18" l="1"/>
  <c r="B11" i="18"/>
  <c r="C12" i="18"/>
  <c r="B12" i="18" l="1"/>
  <c r="L12" i="18"/>
  <c r="C13" i="18"/>
  <c r="L13" i="18" l="1"/>
  <c r="B13" i="18"/>
  <c r="C14" i="18"/>
  <c r="L14" i="18" l="1"/>
  <c r="B14" i="18"/>
  <c r="C15" i="18"/>
  <c r="L15" i="18" l="1"/>
  <c r="B15" i="18"/>
  <c r="C16" i="18"/>
  <c r="L16" i="18" l="1"/>
  <c r="B16" i="18"/>
  <c r="C17" i="18"/>
  <c r="C18" i="18" l="1"/>
  <c r="L17" i="18"/>
  <c r="B17" i="18"/>
  <c r="L18" i="18" l="1"/>
  <c r="C19" i="18"/>
  <c r="B18" i="18"/>
  <c r="L19" i="18" l="1"/>
  <c r="C20" i="18"/>
  <c r="B19" i="18"/>
  <c r="L20" i="18" l="1"/>
  <c r="C21" i="18"/>
  <c r="B20" i="18"/>
  <c r="L21" i="18" l="1"/>
  <c r="C22" i="18"/>
  <c r="B21" i="18"/>
  <c r="B22" i="18" l="1"/>
  <c r="L22" i="18"/>
  <c r="C23" i="18"/>
  <c r="L23" i="18" l="1"/>
  <c r="C24" i="18"/>
  <c r="B23" i="18"/>
  <c r="L24" i="18" l="1"/>
  <c r="C25" i="18"/>
  <c r="B24" i="18"/>
  <c r="L25" i="18" l="1"/>
  <c r="C26" i="18"/>
  <c r="B25" i="18"/>
  <c r="L26" i="18" l="1"/>
  <c r="C27" i="18"/>
  <c r="B26" i="18"/>
  <c r="L27" i="18" l="1"/>
  <c r="C28" i="18"/>
  <c r="B27" i="18"/>
  <c r="C29" i="18" l="1"/>
  <c r="L28" i="18"/>
  <c r="B28" i="18"/>
  <c r="L29" i="18" l="1"/>
  <c r="B29" i="18"/>
  <c r="C30" i="18"/>
  <c r="L30" i="18" l="1"/>
  <c r="B30" i="18"/>
  <c r="C31" i="18"/>
  <c r="B31" i="18" l="1"/>
  <c r="L31" i="18"/>
  <c r="C32" i="18"/>
  <c r="B32" i="18" l="1"/>
  <c r="L32" i="18"/>
  <c r="C33" i="18"/>
  <c r="L33" i="18" l="1"/>
  <c r="C34" i="18"/>
  <c r="B33" i="18"/>
  <c r="B34" i="18" l="1"/>
  <c r="C35" i="18"/>
  <c r="C36" i="18" s="1"/>
  <c r="L34" i="18"/>
  <c r="B36" i="18" l="1"/>
  <c r="L36" i="18"/>
  <c r="C6" i="19"/>
  <c r="B3" i="18"/>
  <c r="J51" i="18"/>
  <c r="L51" i="18"/>
  <c r="K51" i="18"/>
  <c r="D51" i="18"/>
  <c r="D52" i="18" s="1"/>
  <c r="F51" i="18"/>
  <c r="I51" i="18"/>
  <c r="I52" i="18" s="1"/>
  <c r="I53" i="18" s="1"/>
  <c r="I54" i="18" s="1"/>
  <c r="I55" i="18" s="1"/>
  <c r="H51" i="18"/>
  <c r="H52" i="18" s="1"/>
  <c r="H53" i="18" s="1"/>
  <c r="G51" i="18"/>
  <c r="G52" i="18" s="1"/>
  <c r="E51" i="18"/>
  <c r="E52" i="18" s="1"/>
  <c r="E53" i="18" s="1"/>
  <c r="E54" i="18" s="1"/>
  <c r="K52" i="18"/>
  <c r="K53" i="18" s="1"/>
  <c r="K54" i="18" s="1"/>
  <c r="K55" i="18" s="1"/>
  <c r="F52" i="18"/>
  <c r="F53" i="18" s="1"/>
  <c r="F54" i="18" s="1"/>
  <c r="B35" i="18"/>
  <c r="L35" i="18"/>
  <c r="H54" i="18" l="1"/>
  <c r="H55" i="18" s="1"/>
  <c r="I57" i="18"/>
  <c r="I59" i="18" s="1"/>
  <c r="F55" i="18"/>
  <c r="F57" i="18" s="1"/>
  <c r="F59" i="18" s="1"/>
  <c r="E55" i="18"/>
  <c r="E57" i="18" s="1"/>
  <c r="E59" i="18" s="1"/>
  <c r="M51" i="18"/>
  <c r="K57" i="18"/>
  <c r="K59" i="18" s="1"/>
  <c r="G53" i="18"/>
  <c r="G54" i="18" s="1"/>
  <c r="G55" i="18" s="1"/>
  <c r="G57" i="18" s="1"/>
  <c r="G59" i="18" s="1"/>
  <c r="L52" i="18"/>
  <c r="L53" i="18" s="1"/>
  <c r="L54" i="18" s="1"/>
  <c r="L55" i="18" s="1"/>
  <c r="D53" i="18"/>
  <c r="M52" i="18"/>
  <c r="J52" i="18"/>
  <c r="C7" i="19"/>
  <c r="L6" i="19"/>
  <c r="B6" i="19"/>
  <c r="L37" i="18"/>
  <c r="J53" i="18" l="1"/>
  <c r="J54" i="18" s="1"/>
  <c r="J55" i="18" s="1"/>
  <c r="D54" i="18"/>
  <c r="M54" i="18" s="1"/>
  <c r="N51" i="18"/>
  <c r="N52" i="18"/>
  <c r="L57" i="18"/>
  <c r="L59" i="18" s="1"/>
  <c r="H57" i="18"/>
  <c r="H59" i="18" s="1"/>
  <c r="C8" i="19"/>
  <c r="L7" i="19"/>
  <c r="B7" i="19"/>
  <c r="M53" i="18"/>
  <c r="N54" i="18" l="1"/>
  <c r="D55" i="18"/>
  <c r="M55" i="18" s="1"/>
  <c r="M57" i="18" s="1"/>
  <c r="M59" i="18" s="1"/>
  <c r="J57" i="18"/>
  <c r="J59" i="18" s="1"/>
  <c r="N53" i="18"/>
  <c r="L8" i="19"/>
  <c r="B8" i="19"/>
  <c r="C9" i="19"/>
  <c r="N55" i="18" l="1"/>
  <c r="N57" i="18" s="1"/>
  <c r="D57" i="18"/>
  <c r="M50" i="19"/>
  <c r="L9" i="19"/>
  <c r="B9" i="19"/>
  <c r="C10" i="19"/>
  <c r="L10" i="19" l="1"/>
  <c r="B10" i="19"/>
  <c r="C11" i="19"/>
  <c r="B11" i="19" l="1"/>
  <c r="C12" i="19"/>
  <c r="L11" i="19"/>
  <c r="L12" i="19" l="1"/>
  <c r="B12" i="19"/>
  <c r="C13" i="19"/>
  <c r="B13" i="19" l="1"/>
  <c r="C14" i="19"/>
  <c r="L13" i="19"/>
  <c r="L14" i="19" l="1"/>
  <c r="B14" i="19"/>
  <c r="C15" i="19"/>
  <c r="C16" i="19" l="1"/>
  <c r="L15" i="19"/>
  <c r="B15" i="19"/>
  <c r="B16" i="19" l="1"/>
  <c r="L16" i="19"/>
  <c r="C17" i="19"/>
  <c r="L17" i="19" l="1"/>
  <c r="B17" i="19"/>
  <c r="C18" i="19"/>
  <c r="L18" i="19" l="1"/>
  <c r="C19" i="19"/>
  <c r="B18" i="19"/>
  <c r="L19" i="19" l="1"/>
  <c r="C20" i="19"/>
  <c r="B19" i="19"/>
  <c r="L20" i="19" l="1"/>
  <c r="C21" i="19"/>
  <c r="B20" i="19"/>
  <c r="B21" i="19" l="1"/>
  <c r="L21" i="19"/>
  <c r="C22" i="19"/>
  <c r="B22" i="19" l="1"/>
  <c r="L22" i="19"/>
  <c r="C23" i="19"/>
  <c r="B23" i="19" l="1"/>
  <c r="L23" i="19"/>
  <c r="C24" i="19"/>
  <c r="B24" i="19" l="1"/>
  <c r="L24" i="19"/>
  <c r="C25" i="19"/>
  <c r="L25" i="19" l="1"/>
  <c r="C26" i="19"/>
  <c r="B25" i="19"/>
  <c r="L26" i="19" l="1"/>
  <c r="B26" i="19"/>
  <c r="C27" i="19"/>
  <c r="L27" i="19" l="1"/>
  <c r="B27" i="19"/>
  <c r="C28" i="19"/>
  <c r="L28" i="19" l="1"/>
  <c r="B28" i="19"/>
  <c r="C29" i="19"/>
  <c r="L29" i="19" l="1"/>
  <c r="C30" i="19"/>
  <c r="B29" i="19"/>
  <c r="B30" i="19" l="1"/>
  <c r="C31" i="19"/>
  <c r="L30" i="19"/>
  <c r="L31" i="19" l="1"/>
  <c r="B31" i="19"/>
  <c r="C32" i="19"/>
  <c r="L32" i="19" l="1"/>
  <c r="B32" i="19"/>
  <c r="C33" i="19"/>
  <c r="L33" i="19" l="1"/>
  <c r="C34" i="19"/>
  <c r="B33" i="19"/>
  <c r="L34" i="19" l="1"/>
  <c r="C35" i="19"/>
  <c r="C36" i="19" s="1"/>
  <c r="B34" i="19"/>
  <c r="E51" i="19" l="1"/>
  <c r="B36" i="19"/>
  <c r="L36" i="19"/>
  <c r="H51" i="19"/>
  <c r="H52" i="19" s="1"/>
  <c r="H53" i="19" s="1"/>
  <c r="H54" i="19" s="1"/>
  <c r="H55" i="19" s="1"/>
  <c r="H50" i="20" s="1"/>
  <c r="G51" i="19"/>
  <c r="G52" i="19" s="1"/>
  <c r="G53" i="19" s="1"/>
  <c r="G54" i="19" s="1"/>
  <c r="G55" i="19" s="1"/>
  <c r="E52" i="19"/>
  <c r="F51" i="19"/>
  <c r="D51" i="19"/>
  <c r="L35" i="19"/>
  <c r="B35" i="19"/>
  <c r="C6" i="20"/>
  <c r="B3" i="19"/>
  <c r="I51" i="19"/>
  <c r="I52" i="19" s="1"/>
  <c r="I53" i="19" s="1"/>
  <c r="I54" i="19" s="1"/>
  <c r="I55" i="19" s="1"/>
  <c r="J51" i="19"/>
  <c r="J52" i="19" s="1"/>
  <c r="J53" i="19" s="1"/>
  <c r="J54" i="19" s="1"/>
  <c r="J55" i="19" s="1"/>
  <c r="K51" i="19"/>
  <c r="K52" i="19" s="1"/>
  <c r="K53" i="19" s="1"/>
  <c r="K54" i="19" s="1"/>
  <c r="K55" i="19" s="1"/>
  <c r="K57" i="19" s="1"/>
  <c r="K59" i="19" s="1"/>
  <c r="L51" i="19"/>
  <c r="L52" i="19" s="1"/>
  <c r="L53" i="19" s="1"/>
  <c r="E53" i="19" l="1"/>
  <c r="E54" i="19" s="1"/>
  <c r="E55" i="19" s="1"/>
  <c r="L54" i="19"/>
  <c r="L55" i="19" s="1"/>
  <c r="L57" i="19" s="1"/>
  <c r="D52" i="19"/>
  <c r="M51" i="19"/>
  <c r="F52" i="19"/>
  <c r="F53" i="19" s="1"/>
  <c r="F54" i="19" s="1"/>
  <c r="F55" i="19" s="1"/>
  <c r="F50" i="20" s="1"/>
  <c r="I57" i="19"/>
  <c r="I59" i="19" s="1"/>
  <c r="G57" i="19"/>
  <c r="G59" i="19" s="1"/>
  <c r="J57" i="19"/>
  <c r="J59" i="19" s="1"/>
  <c r="H57" i="19"/>
  <c r="H59" i="19" s="1"/>
  <c r="L37" i="19"/>
  <c r="C7" i="20"/>
  <c r="L6" i="20"/>
  <c r="B6" i="20"/>
  <c r="E57" i="19" l="1"/>
  <c r="E59" i="19" s="1"/>
  <c r="L59" i="19"/>
  <c r="F57" i="19"/>
  <c r="F59" i="19" s="1"/>
  <c r="L7" i="20"/>
  <c r="B7" i="20"/>
  <c r="C8" i="20"/>
  <c r="N51" i="19"/>
  <c r="M52" i="19"/>
  <c r="N52" i="19" s="1"/>
  <c r="D53" i="19"/>
  <c r="D54" i="19" l="1"/>
  <c r="M54" i="19" s="1"/>
  <c r="N54" i="19" s="1"/>
  <c r="M53" i="19"/>
  <c r="N53" i="19" s="1"/>
  <c r="L8" i="20"/>
  <c r="B8" i="20"/>
  <c r="C9" i="20"/>
  <c r="C10" i="20" l="1"/>
  <c r="B9" i="20"/>
  <c r="L9" i="20"/>
  <c r="D55" i="19"/>
  <c r="M55" i="19" s="1"/>
  <c r="C11" i="20" l="1"/>
  <c r="L10" i="20"/>
  <c r="B10" i="20"/>
  <c r="M50" i="20"/>
  <c r="N55" i="19"/>
  <c r="N57" i="19" s="1"/>
  <c r="M57" i="19"/>
  <c r="M59" i="19" s="1"/>
  <c r="D57" i="19"/>
  <c r="C12" i="20" l="1"/>
  <c r="L11" i="20"/>
  <c r="B11" i="20"/>
  <c r="L12" i="20" l="1"/>
  <c r="C13" i="20"/>
  <c r="B12" i="20"/>
  <c r="L13" i="20" l="1"/>
  <c r="B13" i="20"/>
  <c r="C14" i="20"/>
  <c r="L14" i="20" l="1"/>
  <c r="B14" i="20"/>
  <c r="C15" i="20"/>
  <c r="L15" i="20" l="1"/>
  <c r="B15" i="20"/>
  <c r="C16" i="20"/>
  <c r="L16" i="20" l="1"/>
  <c r="B16" i="20"/>
  <c r="C17" i="20"/>
  <c r="L17" i="20" l="1"/>
  <c r="C18" i="20"/>
  <c r="B17" i="20"/>
  <c r="L18" i="20" l="1"/>
  <c r="C19" i="20"/>
  <c r="B18" i="20"/>
  <c r="L19" i="20" l="1"/>
  <c r="B19" i="20"/>
  <c r="C20" i="20"/>
  <c r="L20" i="20" l="1"/>
  <c r="C21" i="20"/>
  <c r="B20" i="20"/>
  <c r="L21" i="20" l="1"/>
  <c r="C22" i="20"/>
  <c r="B21" i="20"/>
  <c r="L22" i="20" l="1"/>
  <c r="C23" i="20"/>
  <c r="B22" i="20"/>
  <c r="L23" i="20" l="1"/>
  <c r="B23" i="20"/>
  <c r="C24" i="20"/>
  <c r="L24" i="20" l="1"/>
  <c r="C25" i="20"/>
  <c r="B24" i="20"/>
  <c r="L25" i="20" l="1"/>
  <c r="B25" i="20"/>
  <c r="C26" i="20"/>
  <c r="L26" i="20" l="1"/>
  <c r="C27" i="20"/>
  <c r="B26" i="20"/>
  <c r="C28" i="20" l="1"/>
  <c r="L27" i="20"/>
  <c r="B27" i="20"/>
  <c r="L28" i="20" l="1"/>
  <c r="B28" i="20"/>
  <c r="C29" i="20"/>
  <c r="L29" i="20" l="1"/>
  <c r="C30" i="20"/>
  <c r="B29" i="20"/>
  <c r="L30" i="20" l="1"/>
  <c r="C31" i="20"/>
  <c r="B30" i="20"/>
  <c r="L31" i="20" l="1"/>
  <c r="C32" i="20"/>
  <c r="B31" i="20"/>
  <c r="C33" i="20" l="1"/>
  <c r="B32" i="20"/>
  <c r="L32" i="20"/>
  <c r="L33" i="20" l="1"/>
  <c r="B33" i="20"/>
  <c r="C34" i="20"/>
  <c r="L34" i="20" l="1"/>
  <c r="B34" i="20"/>
  <c r="C35" i="20"/>
  <c r="C36" i="20"/>
  <c r="B36" i="20" l="1"/>
  <c r="L36" i="20"/>
  <c r="C6" i="21"/>
  <c r="B3" i="20"/>
  <c r="E51" i="20"/>
  <c r="E52" i="20" s="1"/>
  <c r="E53" i="20" s="1"/>
  <c r="H51" i="20"/>
  <c r="H52" i="20" s="1"/>
  <c r="H53" i="20" s="1"/>
  <c r="H54" i="20" s="1"/>
  <c r="H55" i="20" s="1"/>
  <c r="H57" i="20" s="1"/>
  <c r="H59" i="20" s="1"/>
  <c r="K51" i="20"/>
  <c r="K52" i="20" s="1"/>
  <c r="K53" i="20" s="1"/>
  <c r="K54" i="20" s="1"/>
  <c r="K55" i="20" s="1"/>
  <c r="I51" i="20"/>
  <c r="I52" i="20" s="1"/>
  <c r="I53" i="20" s="1"/>
  <c r="J51" i="20"/>
  <c r="J52" i="20" s="1"/>
  <c r="J53" i="20" s="1"/>
  <c r="J54" i="20" s="1"/>
  <c r="J55" i="20" s="1"/>
  <c r="J57" i="20" s="1"/>
  <c r="J59" i="20" s="1"/>
  <c r="F51" i="20"/>
  <c r="F52" i="20" s="1"/>
  <c r="F53" i="20" s="1"/>
  <c r="D51" i="20"/>
  <c r="D52" i="20" s="1"/>
  <c r="G51" i="20"/>
  <c r="G52" i="20" s="1"/>
  <c r="L35" i="20"/>
  <c r="L51" i="20" s="1"/>
  <c r="L52" i="20" s="1"/>
  <c r="L53" i="20" s="1"/>
  <c r="L54" i="20" s="1"/>
  <c r="L55" i="20" s="1"/>
  <c r="L57" i="20" s="1"/>
  <c r="B35" i="20"/>
  <c r="M52" i="20" l="1"/>
  <c r="N52" i="20" s="1"/>
  <c r="D53" i="20"/>
  <c r="D54" i="20" s="1"/>
  <c r="F54" i="20"/>
  <c r="F55" i="20" s="1"/>
  <c r="F57" i="20" s="1"/>
  <c r="F59" i="20" s="1"/>
  <c r="M51" i="20"/>
  <c r="K57" i="20"/>
  <c r="K59" i="20" s="1"/>
  <c r="G53" i="20"/>
  <c r="G54" i="20" s="1"/>
  <c r="G55" i="20" s="1"/>
  <c r="G57" i="20" s="1"/>
  <c r="G59" i="20" s="1"/>
  <c r="E54" i="20"/>
  <c r="E55" i="20" s="1"/>
  <c r="E57" i="20" s="1"/>
  <c r="E59" i="20" s="1"/>
  <c r="C7" i="21"/>
  <c r="L6" i="21"/>
  <c r="B6" i="21"/>
  <c r="I54" i="20"/>
  <c r="I55" i="20" s="1"/>
  <c r="I57" i="20" s="1"/>
  <c r="I59" i="20" s="1"/>
  <c r="L37" i="20"/>
  <c r="L59" i="20" s="1"/>
  <c r="D55" i="20" l="1"/>
  <c r="M55" i="20" s="1"/>
  <c r="M54" i="20"/>
  <c r="N54" i="20" s="1"/>
  <c r="C8" i="21"/>
  <c r="L7" i="21"/>
  <c r="B7" i="21"/>
  <c r="N51" i="20"/>
  <c r="M53" i="20"/>
  <c r="N53" i="20" s="1"/>
  <c r="M57" i="20" l="1"/>
  <c r="M59" i="20" s="1"/>
  <c r="D57" i="20"/>
  <c r="L8" i="21"/>
  <c r="B8" i="21"/>
  <c r="C9" i="21"/>
  <c r="N55" i="20"/>
  <c r="N57" i="20" s="1"/>
  <c r="M50" i="21"/>
  <c r="C10" i="21" l="1"/>
  <c r="B9" i="21"/>
  <c r="L9" i="21"/>
  <c r="L10" i="21" l="1"/>
  <c r="B10" i="21"/>
  <c r="C11" i="21"/>
  <c r="B11" i="21" l="1"/>
  <c r="C12" i="21"/>
  <c r="L11" i="21"/>
  <c r="L12" i="21" l="1"/>
  <c r="B12" i="21"/>
  <c r="C13" i="21"/>
  <c r="L13" i="21" l="1"/>
  <c r="C14" i="21"/>
  <c r="B13" i="21"/>
  <c r="B14" i="21" l="1"/>
  <c r="C15" i="21"/>
  <c r="L14" i="21"/>
  <c r="L15" i="21" l="1"/>
  <c r="B15" i="21"/>
  <c r="C16" i="21"/>
  <c r="C17" i="21" l="1"/>
  <c r="L16" i="21"/>
  <c r="B16" i="21"/>
  <c r="L17" i="21" l="1"/>
  <c r="C18" i="21"/>
  <c r="B17" i="21"/>
  <c r="L18" i="21" l="1"/>
  <c r="C19" i="21"/>
  <c r="B18" i="21"/>
  <c r="L19" i="21" l="1"/>
  <c r="B19" i="21"/>
  <c r="C20" i="21"/>
  <c r="L20" i="21" l="1"/>
  <c r="B20" i="21"/>
  <c r="C21" i="21"/>
  <c r="L21" i="21" l="1"/>
  <c r="C22" i="21"/>
  <c r="B21" i="21"/>
  <c r="L22" i="21" l="1"/>
  <c r="B22" i="21"/>
  <c r="C23" i="21"/>
  <c r="L23" i="21" l="1"/>
  <c r="B23" i="21"/>
  <c r="C24" i="21"/>
  <c r="L24" i="21" l="1"/>
  <c r="C25" i="21"/>
  <c r="B24" i="21"/>
  <c r="L25" i="21" l="1"/>
  <c r="C26" i="21"/>
  <c r="B25" i="21"/>
  <c r="B26" i="21" l="1"/>
  <c r="C27" i="21"/>
  <c r="L26" i="21"/>
  <c r="L27" i="21" l="1"/>
  <c r="B27" i="21"/>
  <c r="C28" i="21"/>
  <c r="B28" i="21" l="1"/>
  <c r="C29" i="21"/>
  <c r="L28" i="21"/>
  <c r="C30" i="21" l="1"/>
  <c r="L29" i="21"/>
  <c r="B29" i="21"/>
  <c r="L30" i="21" l="1"/>
  <c r="B30" i="21"/>
  <c r="C31" i="21"/>
  <c r="L31" i="21" l="1"/>
  <c r="C32" i="21"/>
  <c r="B31" i="21"/>
  <c r="L32" i="21" l="1"/>
  <c r="B32" i="21"/>
  <c r="C33" i="21"/>
  <c r="L33" i="21" l="1"/>
  <c r="C34" i="21"/>
  <c r="B33" i="21"/>
  <c r="L34" i="21" l="1"/>
  <c r="B34" i="21"/>
  <c r="C35" i="21"/>
  <c r="C36" i="21"/>
  <c r="B36" i="21" l="1"/>
  <c r="C6" i="22"/>
  <c r="L36" i="21"/>
  <c r="B3" i="21"/>
  <c r="F51" i="21"/>
  <c r="F52" i="21" s="1"/>
  <c r="F53" i="21" s="1"/>
  <c r="D51" i="21"/>
  <c r="D52" i="21" s="1"/>
  <c r="E51" i="21"/>
  <c r="E52" i="21" s="1"/>
  <c r="E53" i="21" s="1"/>
  <c r="E54" i="21" s="1"/>
  <c r="E55" i="21" s="1"/>
  <c r="J51" i="21"/>
  <c r="J52" i="21" s="1"/>
  <c r="J53" i="21" s="1"/>
  <c r="J54" i="21" s="1"/>
  <c r="J55" i="21" s="1"/>
  <c r="K51" i="21"/>
  <c r="K52" i="21" s="1"/>
  <c r="K53" i="21" s="1"/>
  <c r="K54" i="21" s="1"/>
  <c r="K55" i="21" s="1"/>
  <c r="G51" i="21"/>
  <c r="H51" i="21"/>
  <c r="I51" i="21"/>
  <c r="I52" i="21" s="1"/>
  <c r="I53" i="21" s="1"/>
  <c r="I54" i="21" s="1"/>
  <c r="I55" i="21" s="1"/>
  <c r="I57" i="21" s="1"/>
  <c r="I59" i="21" s="1"/>
  <c r="L35" i="21"/>
  <c r="L51" i="21" s="1"/>
  <c r="B35" i="21"/>
  <c r="D53" i="21" l="1"/>
  <c r="D54" i="21" s="1"/>
  <c r="D55" i="21" s="1"/>
  <c r="K57" i="21"/>
  <c r="K59" i="21" s="1"/>
  <c r="F54" i="21"/>
  <c r="F55" i="21" s="1"/>
  <c r="F57" i="21" s="1"/>
  <c r="F59" i="21" s="1"/>
  <c r="J57" i="21"/>
  <c r="J59" i="21" s="1"/>
  <c r="E57" i="21"/>
  <c r="E59" i="21" s="1"/>
  <c r="M51" i="21"/>
  <c r="N51" i="21" s="1"/>
  <c r="L52" i="21"/>
  <c r="L53" i="21" s="1"/>
  <c r="L54" i="21" s="1"/>
  <c r="L55" i="21" s="1"/>
  <c r="H52" i="21"/>
  <c r="H53" i="21" s="1"/>
  <c r="H54" i="21" s="1"/>
  <c r="H55" i="21" s="1"/>
  <c r="L37" i="21"/>
  <c r="G52" i="21"/>
  <c r="G53" i="21" s="1"/>
  <c r="G54" i="21" s="1"/>
  <c r="G55" i="21" s="1"/>
  <c r="C7" i="22"/>
  <c r="L6" i="22"/>
  <c r="B6" i="22"/>
  <c r="D57" i="21" l="1"/>
  <c r="L57" i="21"/>
  <c r="L59" i="21" s="1"/>
  <c r="M54" i="21"/>
  <c r="N54" i="21" s="1"/>
  <c r="M52" i="21"/>
  <c r="N52" i="21" s="1"/>
  <c r="M53" i="21"/>
  <c r="N53" i="21" s="1"/>
  <c r="G57" i="21"/>
  <c r="G59" i="21" s="1"/>
  <c r="H57" i="21"/>
  <c r="H59" i="21" s="1"/>
  <c r="C8" i="22"/>
  <c r="B8" i="22" s="1"/>
  <c r="B7" i="22"/>
  <c r="L7" i="22"/>
  <c r="M55" i="21"/>
  <c r="M57" i="21" l="1"/>
  <c r="M59" i="21" s="1"/>
  <c r="M50" i="22"/>
  <c r="N55" i="21"/>
  <c r="N57" i="21" s="1"/>
  <c r="C9" i="22"/>
  <c r="L8" i="22"/>
  <c r="C10" i="22" l="1"/>
  <c r="B9" i="22"/>
  <c r="L9" i="22"/>
  <c r="L10" i="22" l="1"/>
  <c r="B10" i="22"/>
  <c r="C11" i="22"/>
  <c r="B11" i="22" l="1"/>
  <c r="L11" i="22"/>
  <c r="C12" i="22"/>
  <c r="L12" i="22" l="1"/>
  <c r="B12" i="22"/>
  <c r="C13" i="22"/>
  <c r="L13" i="22" l="1"/>
  <c r="B13" i="22"/>
  <c r="C14" i="22"/>
  <c r="L14" i="22" l="1"/>
  <c r="B14" i="22"/>
  <c r="C15" i="22"/>
  <c r="B15" i="22" l="1"/>
  <c r="C16" i="22"/>
  <c r="L15" i="22"/>
  <c r="B16" i="22" l="1"/>
  <c r="L16" i="22"/>
  <c r="C17" i="22"/>
  <c r="L17" i="22" l="1"/>
  <c r="C18" i="22"/>
  <c r="B17" i="22"/>
  <c r="L18" i="22" l="1"/>
  <c r="C19" i="22"/>
  <c r="B18" i="22"/>
  <c r="L19" i="22" l="1"/>
  <c r="B19" i="22"/>
  <c r="C20" i="22"/>
  <c r="B20" i="22" l="1"/>
  <c r="L20" i="22"/>
  <c r="C21" i="22"/>
  <c r="L21" i="22" l="1"/>
  <c r="C22" i="22"/>
  <c r="B21" i="22"/>
  <c r="L22" i="22" l="1"/>
  <c r="B22" i="22"/>
  <c r="C23" i="22"/>
  <c r="L23" i="22" l="1"/>
  <c r="B23" i="22"/>
  <c r="C24" i="22"/>
  <c r="L24" i="22" l="1"/>
  <c r="C25" i="22"/>
  <c r="B24" i="22"/>
  <c r="B25" i="22" l="1"/>
  <c r="C26" i="22"/>
  <c r="L25" i="22"/>
  <c r="L26" i="22" l="1"/>
  <c r="B26" i="22"/>
  <c r="C27" i="22"/>
  <c r="B27" i="22" l="1"/>
  <c r="C28" i="22"/>
  <c r="L27" i="22"/>
  <c r="L28" i="22" l="1"/>
  <c r="B28" i="22"/>
  <c r="C29" i="22"/>
  <c r="L29" i="22" l="1"/>
  <c r="B29" i="22"/>
  <c r="C30" i="22"/>
  <c r="B30" i="22" l="1"/>
  <c r="L30" i="22"/>
  <c r="C31" i="22"/>
  <c r="B31" i="22" l="1"/>
  <c r="C32" i="22"/>
  <c r="L31" i="22"/>
  <c r="B32" i="22" l="1"/>
  <c r="C33" i="22"/>
  <c r="L32" i="22"/>
  <c r="B33" i="22" l="1"/>
  <c r="C34" i="22"/>
  <c r="L33" i="22"/>
  <c r="B3" i="22"/>
  <c r="C6" i="24"/>
  <c r="C7" i="24" l="1"/>
  <c r="B6" i="24"/>
  <c r="L6" i="24"/>
  <c r="L34" i="22"/>
  <c r="B34" i="22"/>
  <c r="C36" i="22"/>
  <c r="J51" i="22"/>
  <c r="J52" i="22" s="1"/>
  <c r="J53" i="22" s="1"/>
  <c r="J54" i="22" s="1"/>
  <c r="J55" i="22" s="1"/>
  <c r="K51" i="22"/>
  <c r="K52" i="22" s="1"/>
  <c r="K53" i="22" s="1"/>
  <c r="K54" i="22" s="1"/>
  <c r="K55" i="22" s="1"/>
  <c r="K57" i="22" s="1"/>
  <c r="K59" i="22" s="1"/>
  <c r="I51" i="22"/>
  <c r="I52" i="22" s="1"/>
  <c r="I53" i="22" s="1"/>
  <c r="I54" i="22" s="1"/>
  <c r="J57" i="22" l="1"/>
  <c r="J59" i="22" s="1"/>
  <c r="I55" i="22"/>
  <c r="I57" i="22" s="1"/>
  <c r="I59" i="22" s="1"/>
  <c r="L36" i="22"/>
  <c r="L37" i="22" s="1"/>
  <c r="B36" i="22"/>
  <c r="E51" i="22"/>
  <c r="G51" i="22"/>
  <c r="F51" i="22"/>
  <c r="F52" i="22" s="1"/>
  <c r="F53" i="22" s="1"/>
  <c r="F54" i="22" s="1"/>
  <c r="F55" i="22" s="1"/>
  <c r="D51" i="22"/>
  <c r="D52" i="22" s="1"/>
  <c r="H51" i="22"/>
  <c r="H52" i="22" s="1"/>
  <c r="H53" i="22" s="1"/>
  <c r="H54" i="22" s="1"/>
  <c r="H55" i="22" s="1"/>
  <c r="H57" i="22" s="1"/>
  <c r="H59" i="22" s="1"/>
  <c r="G52" i="22"/>
  <c r="G53" i="22" s="1"/>
  <c r="G54" i="22" s="1"/>
  <c r="G55" i="22" s="1"/>
  <c r="G57" i="22" s="1"/>
  <c r="G59" i="22" s="1"/>
  <c r="E52" i="22"/>
  <c r="E53" i="22" s="1"/>
  <c r="E54" i="22" s="1"/>
  <c r="E55" i="22" s="1"/>
  <c r="L51" i="22"/>
  <c r="L7" i="24"/>
  <c r="C8" i="24"/>
  <c r="B7" i="24"/>
  <c r="D53" i="22" l="1"/>
  <c r="D54" i="22" s="1"/>
  <c r="M52" i="22"/>
  <c r="M51" i="22"/>
  <c r="F57" i="22"/>
  <c r="F59" i="22" s="1"/>
  <c r="E57" i="22"/>
  <c r="E59" i="22" s="1"/>
  <c r="L8" i="24"/>
  <c r="B8" i="24"/>
  <c r="C9" i="24"/>
  <c r="L52" i="22"/>
  <c r="L53" i="22" s="1"/>
  <c r="L54" i="22" s="1"/>
  <c r="M54" i="22" l="1"/>
  <c r="D55" i="22"/>
  <c r="M55" i="22" s="1"/>
  <c r="M57" i="22" s="1"/>
  <c r="M59" i="22" s="1"/>
  <c r="M53" i="22"/>
  <c r="L55" i="22"/>
  <c r="L57" i="22" s="1"/>
  <c r="L59" i="22" s="1"/>
  <c r="N54" i="22"/>
  <c r="C10" i="24"/>
  <c r="L9" i="24"/>
  <c r="B9" i="24"/>
  <c r="N51" i="22"/>
  <c r="N53" i="22"/>
  <c r="N52" i="22"/>
  <c r="D57" i="22" l="1"/>
  <c r="N55" i="22"/>
  <c r="N57" i="22" s="1"/>
  <c r="B10" i="24"/>
  <c r="L10" i="24"/>
  <c r="C11" i="24"/>
  <c r="B11" i="24" l="1"/>
  <c r="C12" i="24"/>
  <c r="L11" i="24"/>
  <c r="C13" i="24" l="1"/>
  <c r="B12" i="24"/>
  <c r="L12" i="24"/>
  <c r="L13" i="24" l="1"/>
  <c r="B13" i="24"/>
  <c r="C14" i="24"/>
  <c r="L14" i="24" l="1"/>
  <c r="C15" i="24"/>
  <c r="B14" i="24"/>
  <c r="B15" i="24" l="1"/>
  <c r="C16" i="24"/>
  <c r="L15" i="24"/>
  <c r="B16" i="24" l="1"/>
  <c r="L16" i="24"/>
  <c r="C17" i="24"/>
  <c r="L17" i="24" l="1"/>
  <c r="B17" i="24"/>
  <c r="C18" i="24"/>
  <c r="L18" i="24" l="1"/>
  <c r="B18" i="24"/>
  <c r="C19" i="24"/>
  <c r="L19" i="24" l="1"/>
  <c r="C20" i="24"/>
  <c r="B19" i="24"/>
  <c r="L20" i="24" l="1"/>
  <c r="C21" i="24"/>
  <c r="B20" i="24"/>
  <c r="L21" i="24" l="1"/>
  <c r="C22" i="24"/>
  <c r="B21" i="24"/>
  <c r="L22" i="24" l="1"/>
  <c r="C23" i="24"/>
  <c r="B22" i="24"/>
  <c r="L23" i="24" l="1"/>
  <c r="C24" i="24"/>
  <c r="B23" i="24"/>
  <c r="L24" i="24" l="1"/>
  <c r="C25" i="24"/>
  <c r="B24" i="24"/>
  <c r="L25" i="24" l="1"/>
  <c r="B25" i="24"/>
  <c r="C26" i="24"/>
  <c r="C27" i="24" l="1"/>
  <c r="L26" i="24"/>
  <c r="B26" i="24"/>
  <c r="B27" i="24" l="1"/>
  <c r="L27" i="24"/>
  <c r="C28" i="24"/>
  <c r="C29" i="24" l="1"/>
  <c r="B28" i="24"/>
  <c r="L28" i="24"/>
  <c r="L29" i="24" l="1"/>
  <c r="C30" i="24"/>
  <c r="B29" i="24"/>
  <c r="B30" i="24" l="1"/>
  <c r="L30" i="24"/>
  <c r="C31" i="24"/>
  <c r="L31" i="24" l="1"/>
  <c r="B31" i="24"/>
  <c r="C32" i="24"/>
  <c r="L32" i="24" l="1"/>
  <c r="B32" i="24"/>
  <c r="C33" i="24"/>
  <c r="L33" i="24" l="1"/>
  <c r="C34" i="24"/>
  <c r="B33" i="24"/>
  <c r="L34" i="24" l="1"/>
  <c r="B34" i="24"/>
  <c r="C35" i="24"/>
  <c r="C36" i="24" s="1"/>
  <c r="L36" i="24" l="1"/>
  <c r="B36" i="24"/>
  <c r="C6" i="25"/>
  <c r="B3" i="24"/>
  <c r="E51" i="24"/>
  <c r="E52" i="24" s="1"/>
  <c r="E53" i="24" s="1"/>
  <c r="E54" i="24" s="1"/>
  <c r="E55" i="24" s="1"/>
  <c r="E57" i="24" s="1"/>
  <c r="E59" i="24" s="1"/>
  <c r="H51" i="24"/>
  <c r="H52" i="24" s="1"/>
  <c r="H53" i="24" s="1"/>
  <c r="H54" i="24" s="1"/>
  <c r="H55" i="24" s="1"/>
  <c r="H57" i="24" s="1"/>
  <c r="H59" i="24" s="1"/>
  <c r="J51" i="24"/>
  <c r="G51" i="24"/>
  <c r="G52" i="24" s="1"/>
  <c r="G53" i="24" s="1"/>
  <c r="G54" i="24" s="1"/>
  <c r="G55" i="24" s="1"/>
  <c r="K51" i="24"/>
  <c r="I51" i="24"/>
  <c r="I52" i="24" s="1"/>
  <c r="I53" i="24" s="1"/>
  <c r="I54" i="24" s="1"/>
  <c r="I55" i="24" s="1"/>
  <c r="D51" i="24"/>
  <c r="D52" i="24" s="1"/>
  <c r="D53" i="24" s="1"/>
  <c r="F51" i="24"/>
  <c r="F52" i="24" s="1"/>
  <c r="F53" i="24" s="1"/>
  <c r="F54" i="24" s="1"/>
  <c r="F55" i="24" s="1"/>
  <c r="K52" i="24"/>
  <c r="K53" i="24" s="1"/>
  <c r="K54" i="24" s="1"/>
  <c r="L51" i="24"/>
  <c r="L52" i="24" s="1"/>
  <c r="L53" i="24" s="1"/>
  <c r="L54" i="24" s="1"/>
  <c r="L55" i="24" s="1"/>
  <c r="L57" i="24" s="1"/>
  <c r="L35" i="24"/>
  <c r="B35" i="24"/>
  <c r="M53" i="24" l="1"/>
  <c r="D54" i="24"/>
  <c r="F57" i="24"/>
  <c r="F59" i="24" s="1"/>
  <c r="M51" i="24"/>
  <c r="I57" i="24"/>
  <c r="I59" i="24" s="1"/>
  <c r="G57" i="24"/>
  <c r="G59" i="24" s="1"/>
  <c r="K55" i="24"/>
  <c r="K57" i="24" s="1"/>
  <c r="K59" i="24" s="1"/>
  <c r="M52" i="24"/>
  <c r="J52" i="24"/>
  <c r="J53" i="24" s="1"/>
  <c r="J54" i="24" s="1"/>
  <c r="J55" i="24" s="1"/>
  <c r="C7" i="25"/>
  <c r="L6" i="25"/>
  <c r="B6" i="25"/>
  <c r="L37" i="24"/>
  <c r="L59" i="24" s="1"/>
  <c r="N52" i="24" l="1"/>
  <c r="N51" i="24"/>
  <c r="J57" i="24"/>
  <c r="J59" i="24" s="1"/>
  <c r="D55" i="24"/>
  <c r="M54" i="24"/>
  <c r="N54" i="24" s="1"/>
  <c r="C8" i="25"/>
  <c r="B7" i="25"/>
  <c r="L7" i="25"/>
  <c r="N53" i="24"/>
  <c r="L8" i="25" l="1"/>
  <c r="B8" i="25"/>
  <c r="C9" i="25"/>
  <c r="D57" i="24"/>
  <c r="M55" i="24"/>
  <c r="M57" i="24" s="1"/>
  <c r="M59" i="24" s="1"/>
  <c r="M50" i="25" l="1"/>
  <c r="N55" i="24"/>
  <c r="N57" i="24" s="1"/>
  <c r="C10" i="25"/>
  <c r="L9" i="25"/>
  <c r="B9" i="25"/>
  <c r="L10" i="25" l="1"/>
  <c r="B10" i="25"/>
  <c r="C11" i="25"/>
  <c r="L11" i="25" l="1"/>
  <c r="C12" i="25"/>
  <c r="B11" i="25"/>
  <c r="L12" i="25" l="1"/>
  <c r="B12" i="25"/>
  <c r="C13" i="25"/>
  <c r="C14" i="25" l="1"/>
  <c r="L13" i="25"/>
  <c r="B13" i="25"/>
  <c r="B14" i="25" l="1"/>
  <c r="C15" i="25"/>
  <c r="L14" i="25"/>
  <c r="C16" i="25" l="1"/>
  <c r="L15" i="25"/>
  <c r="B15" i="25"/>
  <c r="L16" i="25" l="1"/>
  <c r="C17" i="25"/>
  <c r="B16" i="25"/>
  <c r="L17" i="25" l="1"/>
  <c r="B17" i="25"/>
  <c r="C18" i="25"/>
  <c r="L18" i="25" l="1"/>
  <c r="C19" i="25"/>
  <c r="B18" i="25"/>
  <c r="C20" i="25" l="1"/>
  <c r="L19" i="25"/>
  <c r="B19" i="25"/>
  <c r="L20" i="25" l="1"/>
  <c r="B20" i="25"/>
  <c r="C21" i="25"/>
  <c r="B21" i="25" l="1"/>
  <c r="L21" i="25"/>
  <c r="C22" i="25"/>
  <c r="B22" i="25" l="1"/>
  <c r="C23" i="25"/>
  <c r="L22" i="25"/>
  <c r="L23" i="25" l="1"/>
  <c r="B23" i="25"/>
  <c r="C24" i="25"/>
  <c r="B24" i="25" l="1"/>
  <c r="L24" i="25"/>
  <c r="C25" i="25"/>
  <c r="B25" i="25" l="1"/>
  <c r="C26" i="25"/>
  <c r="L25" i="25"/>
  <c r="B26" i="25" l="1"/>
  <c r="C27" i="25"/>
  <c r="L26" i="25"/>
  <c r="L27" i="25" l="1"/>
  <c r="B27" i="25"/>
  <c r="C28" i="25"/>
  <c r="L28" i="25" l="1"/>
  <c r="C29" i="25"/>
  <c r="B28" i="25"/>
  <c r="L29" i="25" l="1"/>
  <c r="C30" i="25"/>
  <c r="B29" i="25"/>
  <c r="L30" i="25" l="1"/>
  <c r="B30" i="25"/>
  <c r="C31" i="25"/>
  <c r="B31" i="25" l="1"/>
  <c r="C32" i="25"/>
  <c r="L31" i="25"/>
  <c r="L32" i="25" l="1"/>
  <c r="B32" i="25"/>
  <c r="C33" i="25"/>
  <c r="L33" i="25" l="1"/>
  <c r="B33" i="25"/>
  <c r="C34" i="25"/>
  <c r="L34" i="25" l="1"/>
  <c r="B34" i="25"/>
  <c r="C35" i="25"/>
  <c r="C36" i="25"/>
  <c r="L36" i="25" l="1"/>
  <c r="B36" i="25"/>
  <c r="G51" i="25"/>
  <c r="G52" i="25" s="1"/>
  <c r="G53" i="25" s="1"/>
  <c r="G54" i="25" s="1"/>
  <c r="G55" i="25" s="1"/>
  <c r="E51" i="25"/>
  <c r="E52" i="25" s="1"/>
  <c r="E53" i="25" s="1"/>
  <c r="E54" i="25" s="1"/>
  <c r="E55" i="25" s="1"/>
  <c r="D51" i="25"/>
  <c r="D52" i="25" s="1"/>
  <c r="H51" i="25"/>
  <c r="H52" i="25" s="1"/>
  <c r="H53" i="25" s="1"/>
  <c r="F51" i="25"/>
  <c r="F52" i="25" s="1"/>
  <c r="F53" i="25" s="1"/>
  <c r="F54" i="25" s="1"/>
  <c r="F55" i="25" s="1"/>
  <c r="F57" i="25" s="1"/>
  <c r="F59" i="25" s="1"/>
  <c r="B35" i="25"/>
  <c r="L35" i="25"/>
  <c r="L51" i="25" s="1"/>
  <c r="L52" i="25" s="1"/>
  <c r="L53" i="25" s="1"/>
  <c r="L54" i="25" s="1"/>
  <c r="L55" i="25" s="1"/>
  <c r="L57" i="25" s="1"/>
  <c r="B3" i="25"/>
  <c r="C6" i="23"/>
  <c r="J51" i="25"/>
  <c r="J52" i="25" s="1"/>
  <c r="J53" i="25" s="1"/>
  <c r="J54" i="25" s="1"/>
  <c r="I51" i="25"/>
  <c r="I52" i="25" s="1"/>
  <c r="I53" i="25" s="1"/>
  <c r="I54" i="25" s="1"/>
  <c r="I55" i="25" s="1"/>
  <c r="I57" i="25" s="1"/>
  <c r="I59" i="25" s="1"/>
  <c r="K51" i="25"/>
  <c r="K52" i="25" s="1"/>
  <c r="K53" i="25" s="1"/>
  <c r="K54" i="25" s="1"/>
  <c r="K55" i="25" s="1"/>
  <c r="K57" i="25" s="1"/>
  <c r="K59" i="25" s="1"/>
  <c r="H54" i="25" l="1"/>
  <c r="H55" i="25" s="1"/>
  <c r="H57" i="25" s="1"/>
  <c r="H59" i="25" s="1"/>
  <c r="J55" i="25"/>
  <c r="J57" i="25" s="1"/>
  <c r="J59" i="25" s="1"/>
  <c r="D53" i="25"/>
  <c r="M52" i="25"/>
  <c r="N52" i="25" s="1"/>
  <c r="L6" i="23"/>
  <c r="B6" i="23"/>
  <c r="C7" i="23"/>
  <c r="M51" i="25"/>
  <c r="E57" i="25"/>
  <c r="E59" i="25" s="1"/>
  <c r="G57" i="25"/>
  <c r="G59" i="25" s="1"/>
  <c r="L37" i="25"/>
  <c r="L59" i="25" s="1"/>
  <c r="C8" i="23" l="1"/>
  <c r="L7" i="23"/>
  <c r="B7" i="23"/>
  <c r="N51" i="25"/>
  <c r="M53" i="25"/>
  <c r="N53" i="25" s="1"/>
  <c r="D54" i="25"/>
  <c r="M54" i="25" l="1"/>
  <c r="N54" i="25" s="1"/>
  <c r="D55" i="25"/>
  <c r="M55" i="25" s="1"/>
  <c r="M57" i="25" s="1"/>
  <c r="M59" i="25" s="1"/>
  <c r="C9" i="23"/>
  <c r="L8" i="23"/>
  <c r="B8" i="23"/>
  <c r="D57" i="25" l="1"/>
  <c r="L9" i="23"/>
  <c r="B9" i="23"/>
  <c r="C10" i="23"/>
  <c r="M50" i="30"/>
  <c r="N55" i="25"/>
  <c r="N57" i="25" s="1"/>
  <c r="M50" i="27"/>
  <c r="M50" i="23"/>
  <c r="C11" i="23" l="1"/>
  <c r="B10" i="23"/>
  <c r="L10" i="23"/>
  <c r="L11" i="23" l="1"/>
  <c r="B11" i="23"/>
  <c r="C12" i="23"/>
  <c r="B12" i="23" l="1"/>
  <c r="C13" i="23"/>
  <c r="L12" i="23"/>
  <c r="B13" i="23" l="1"/>
  <c r="C14" i="23"/>
  <c r="L13" i="23"/>
  <c r="L14" i="23" l="1"/>
  <c r="C15" i="23"/>
  <c r="B14" i="23"/>
  <c r="B15" i="23" l="1"/>
  <c r="C16" i="23"/>
  <c r="L15" i="23"/>
  <c r="L16" i="23" l="1"/>
  <c r="B16" i="23"/>
  <c r="C17" i="23"/>
  <c r="C7" i="27"/>
  <c r="B7" i="27" s="1"/>
  <c r="C18" i="23" l="1"/>
  <c r="L17" i="23"/>
  <c r="B17" i="23"/>
  <c r="C6" i="27"/>
  <c r="H51" i="27" s="1"/>
  <c r="H52" i="27" s="1"/>
  <c r="H53" i="27" s="1"/>
  <c r="L7" i="27"/>
  <c r="L18" i="23" l="1"/>
  <c r="C19" i="23"/>
  <c r="B18" i="23"/>
  <c r="E51" i="27"/>
  <c r="E52" i="27" s="1"/>
  <c r="E53" i="27" s="1"/>
  <c r="E54" i="27" s="1"/>
  <c r="E55" i="27" s="1"/>
  <c r="I51" i="27"/>
  <c r="D51" i="27"/>
  <c r="D52" i="27" s="1"/>
  <c r="K51" i="27"/>
  <c r="K52" i="27" s="1"/>
  <c r="K53" i="27" s="1"/>
  <c r="B3" i="27"/>
  <c r="G51" i="27"/>
  <c r="G52" i="27" s="1"/>
  <c r="G53" i="27" s="1"/>
  <c r="G54" i="27" s="1"/>
  <c r="J51" i="27"/>
  <c r="J52" i="27" s="1"/>
  <c r="F51" i="27"/>
  <c r="F52" i="27" s="1"/>
  <c r="F53" i="27" s="1"/>
  <c r="L6" i="27"/>
  <c r="L37" i="27" s="1"/>
  <c r="M38" i="27" s="1"/>
  <c r="B6" i="27"/>
  <c r="I52" i="27"/>
  <c r="I53" i="27" s="1"/>
  <c r="H54" i="27"/>
  <c r="H55" i="27" s="1"/>
  <c r="L19" i="23" l="1"/>
  <c r="C20" i="23"/>
  <c r="B19" i="23"/>
  <c r="M52" i="27"/>
  <c r="L51" i="27"/>
  <c r="L52" i="27" s="1"/>
  <c r="L53" i="27" s="1"/>
  <c r="L54" i="27" s="1"/>
  <c r="L55" i="27" s="1"/>
  <c r="J53" i="27"/>
  <c r="J54" i="27" s="1"/>
  <c r="J55" i="27" s="1"/>
  <c r="M51" i="27"/>
  <c r="K54" i="27"/>
  <c r="K55" i="27" s="1"/>
  <c r="G55" i="27"/>
  <c r="G57" i="27" s="1"/>
  <c r="G59" i="27" s="1"/>
  <c r="E57" i="27"/>
  <c r="E59" i="27" s="1"/>
  <c r="H57" i="27"/>
  <c r="H59" i="27" s="1"/>
  <c r="I54" i="27"/>
  <c r="I55" i="27" s="1"/>
  <c r="D53" i="27"/>
  <c r="M53" i="27" s="1"/>
  <c r="F54" i="27"/>
  <c r="F55" i="27" s="1"/>
  <c r="F57" i="27" s="1"/>
  <c r="F59" i="27" s="1"/>
  <c r="L20" i="23" l="1"/>
  <c r="B20" i="23"/>
  <c r="C21" i="23"/>
  <c r="N52" i="27"/>
  <c r="N51" i="27"/>
  <c r="J57" i="27"/>
  <c r="J59" i="27" s="1"/>
  <c r="L57" i="27"/>
  <c r="L59" i="27" s="1"/>
  <c r="K57" i="27"/>
  <c r="K59" i="27" s="1"/>
  <c r="N53" i="27"/>
  <c r="D54" i="27"/>
  <c r="I57" i="27"/>
  <c r="I59" i="27" s="1"/>
  <c r="L21" i="23" l="1"/>
  <c r="B21" i="23"/>
  <c r="C22" i="23"/>
  <c r="M54" i="27"/>
  <c r="D55" i="27"/>
  <c r="B22" i="23" l="1"/>
  <c r="L22" i="23"/>
  <c r="C23" i="23"/>
  <c r="M55" i="27"/>
  <c r="N55" i="27" s="1"/>
  <c r="N57" i="27" s="1"/>
  <c r="N54" i="27"/>
  <c r="D57" i="27"/>
  <c r="L23" i="23" l="1"/>
  <c r="C24" i="23"/>
  <c r="B23" i="23"/>
  <c r="M57" i="27"/>
  <c r="M59" i="27" s="1"/>
  <c r="B24" i="23" l="1"/>
  <c r="L24" i="23"/>
  <c r="C25" i="23"/>
  <c r="L25" i="23" l="1"/>
  <c r="C26" i="23"/>
  <c r="B25" i="23"/>
  <c r="B26" i="23" l="1"/>
  <c r="C27" i="23"/>
  <c r="L26" i="23"/>
  <c r="L27" i="23" l="1"/>
  <c r="C28" i="23"/>
  <c r="B27" i="23"/>
  <c r="B28" i="23" l="1"/>
  <c r="L28" i="23"/>
  <c r="C29" i="23"/>
  <c r="L29" i="23" l="1"/>
  <c r="B29" i="23"/>
  <c r="C30" i="23"/>
  <c r="L30" i="23" l="1"/>
  <c r="C31" i="23"/>
  <c r="B30" i="23"/>
  <c r="L31" i="23" l="1"/>
  <c r="B31" i="23"/>
  <c r="C32" i="23"/>
  <c r="L32" i="23" l="1"/>
  <c r="B32" i="23"/>
  <c r="C33" i="23"/>
  <c r="L33" i="23" l="1"/>
  <c r="B33" i="23"/>
  <c r="C34" i="23"/>
  <c r="L34" i="23" l="1"/>
  <c r="B34" i="23"/>
  <c r="C35" i="23"/>
  <c r="C36" i="23"/>
  <c r="L36" i="23" l="1"/>
  <c r="B36" i="23"/>
  <c r="B3" i="23"/>
  <c r="K51" i="23"/>
  <c r="J51" i="23"/>
  <c r="J52" i="23" s="1"/>
  <c r="J53" i="23" s="1"/>
  <c r="J54" i="23" s="1"/>
  <c r="J55" i="23" s="1"/>
  <c r="J57" i="23" s="1"/>
  <c r="J59" i="23" s="1"/>
  <c r="D51" i="23"/>
  <c r="E51" i="23"/>
  <c r="H51" i="23"/>
  <c r="H52" i="23" s="1"/>
  <c r="H53" i="23" s="1"/>
  <c r="H54" i="23" s="1"/>
  <c r="H55" i="23" s="1"/>
  <c r="H57" i="23" s="1"/>
  <c r="H59" i="23" s="1"/>
  <c r="I51" i="23"/>
  <c r="I52" i="23" s="1"/>
  <c r="I53" i="23" s="1"/>
  <c r="I54" i="23" s="1"/>
  <c r="I55" i="23" s="1"/>
  <c r="I57" i="23" s="1"/>
  <c r="I59" i="23" s="1"/>
  <c r="F51" i="23"/>
  <c r="F52" i="23" s="1"/>
  <c r="G51" i="23"/>
  <c r="G52" i="23" s="1"/>
  <c r="E52" i="23"/>
  <c r="E53" i="23" s="1"/>
  <c r="E54" i="23" s="1"/>
  <c r="E55" i="23" s="1"/>
  <c r="K52" i="23"/>
  <c r="K53" i="23" s="1"/>
  <c r="K54" i="23" s="1"/>
  <c r="K55" i="23" s="1"/>
  <c r="D52" i="23"/>
  <c r="L51" i="23"/>
  <c r="L52" i="23" s="1"/>
  <c r="L53" i="23" s="1"/>
  <c r="L54" i="23" s="1"/>
  <c r="C6" i="30"/>
  <c r="B35" i="23"/>
  <c r="L35" i="23"/>
  <c r="F53" i="23" l="1"/>
  <c r="F54" i="23" s="1"/>
  <c r="F55" i="23" s="1"/>
  <c r="F57" i="23" s="1"/>
  <c r="F59" i="23" s="1"/>
  <c r="G53" i="23"/>
  <c r="G54" i="23" s="1"/>
  <c r="G55" i="23" s="1"/>
  <c r="G57" i="23" s="1"/>
  <c r="G59" i="23" s="1"/>
  <c r="B3" i="30"/>
  <c r="B6" i="30"/>
  <c r="L6" i="30"/>
  <c r="C7" i="30"/>
  <c r="E57" i="23"/>
  <c r="E59" i="23" s="1"/>
  <c r="M51" i="23"/>
  <c r="K57" i="23"/>
  <c r="K59" i="23" s="1"/>
  <c r="D53" i="23"/>
  <c r="M52" i="23"/>
  <c r="N52" i="23" s="1"/>
  <c r="L37" i="23"/>
  <c r="L55" i="23"/>
  <c r="L57" i="23" s="1"/>
  <c r="L59" i="23" s="1"/>
  <c r="M53" i="23" l="1"/>
  <c r="N53" i="23" s="1"/>
  <c r="D54" i="23"/>
  <c r="M54" i="23" s="1"/>
  <c r="N54" i="23" s="1"/>
  <c r="N51" i="23"/>
  <c r="C8" i="30"/>
  <c r="L7" i="30"/>
  <c r="B7" i="30"/>
  <c r="D55" i="23" l="1"/>
  <c r="M55" i="23" s="1"/>
  <c r="N55" i="23" s="1"/>
  <c r="N57" i="23" s="1"/>
  <c r="C9" i="30"/>
  <c r="L8" i="30"/>
  <c r="B8" i="30"/>
  <c r="D57" i="23" l="1"/>
  <c r="M57" i="23"/>
  <c r="M59" i="23" s="1"/>
  <c r="B9" i="30"/>
  <c r="C10" i="30"/>
  <c r="L9" i="30"/>
  <c r="C11" i="30" l="1"/>
  <c r="L10" i="30"/>
  <c r="B10" i="30"/>
  <c r="C12" i="30" l="1"/>
  <c r="L11" i="30"/>
  <c r="B11" i="30"/>
  <c r="C13" i="30" l="1"/>
  <c r="L12" i="30"/>
  <c r="B12" i="30"/>
  <c r="C14" i="30" l="1"/>
  <c r="B13" i="30"/>
  <c r="L13" i="30"/>
  <c r="L14" i="30" l="1"/>
  <c r="C15" i="30"/>
  <c r="B14" i="30"/>
  <c r="C16" i="30" l="1"/>
  <c r="B15" i="30"/>
  <c r="L15" i="30"/>
  <c r="L16" i="30" l="1"/>
  <c r="B16" i="30"/>
  <c r="C17" i="30"/>
  <c r="L17" i="30" l="1"/>
  <c r="C18" i="30"/>
  <c r="B17" i="30"/>
  <c r="C19" i="30" l="1"/>
  <c r="B18" i="30"/>
  <c r="L18" i="30"/>
  <c r="C20" i="30" l="1"/>
  <c r="B19" i="30"/>
  <c r="L19" i="30"/>
  <c r="L20" i="30" l="1"/>
  <c r="B20" i="30"/>
  <c r="C21" i="30"/>
  <c r="C22" i="30" l="1"/>
  <c r="L21" i="30"/>
  <c r="B21" i="30"/>
  <c r="C23" i="30" l="1"/>
  <c r="L22" i="30"/>
  <c r="B22" i="30"/>
  <c r="L23" i="30" l="1"/>
  <c r="C24" i="30"/>
  <c r="B23" i="30"/>
  <c r="C25" i="30" l="1"/>
  <c r="L24" i="30"/>
  <c r="B24" i="30"/>
  <c r="L25" i="30" l="1"/>
  <c r="B25" i="30"/>
  <c r="C26" i="30"/>
  <c r="B26" i="30" l="1"/>
  <c r="L26" i="30"/>
  <c r="C27" i="30"/>
  <c r="C28" i="30" l="1"/>
  <c r="B27" i="30"/>
  <c r="L27" i="30"/>
  <c r="C29" i="30" l="1"/>
  <c r="B28" i="30"/>
  <c r="L28" i="30"/>
  <c r="C30" i="30" l="1"/>
  <c r="L29" i="30"/>
  <c r="B29" i="30"/>
  <c r="C31" i="30" l="1"/>
  <c r="L30" i="30"/>
  <c r="B30" i="30"/>
  <c r="C32" i="30" l="1"/>
  <c r="L31" i="30"/>
  <c r="B31" i="30"/>
  <c r="C33" i="30" l="1"/>
  <c r="L32" i="30"/>
  <c r="B32" i="30"/>
  <c r="C34" i="30" l="1"/>
  <c r="L33" i="30"/>
  <c r="B33" i="30"/>
  <c r="C35" i="30" l="1"/>
  <c r="L34" i="30"/>
  <c r="B34" i="30"/>
  <c r="C36" i="30" l="1"/>
  <c r="L35" i="30"/>
  <c r="B35" i="30"/>
  <c r="L36" i="30" l="1"/>
  <c r="L37" i="30" s="1"/>
  <c r="B36" i="30"/>
  <c r="F51" i="30"/>
  <c r="G51" i="30"/>
  <c r="G52" i="30" s="1"/>
  <c r="G53" i="30" s="1"/>
  <c r="G54" i="30" s="1"/>
  <c r="G55" i="30" s="1"/>
  <c r="G57" i="30" s="1"/>
  <c r="G59" i="30" s="1"/>
  <c r="D51" i="30"/>
  <c r="D52" i="30" s="1"/>
  <c r="J51" i="30"/>
  <c r="K51" i="30"/>
  <c r="I51" i="30"/>
  <c r="I52" i="30" s="1"/>
  <c r="I53" i="30" s="1"/>
  <c r="I54" i="30" s="1"/>
  <c r="E51" i="30"/>
  <c r="H51" i="30"/>
  <c r="L51" i="30"/>
  <c r="L52" i="30" s="1"/>
  <c r="L53" i="30" s="1"/>
  <c r="L54" i="30" s="1"/>
  <c r="L55" i="30" s="1"/>
  <c r="L57" i="30" s="1"/>
  <c r="L59" i="30" s="1"/>
  <c r="F52" i="30"/>
  <c r="F53" i="30" s="1"/>
  <c r="F54" i="30" s="1"/>
  <c r="K52" i="30"/>
  <c r="K53" i="30" s="1"/>
  <c r="K54" i="30" s="1"/>
  <c r="K55" i="30" s="1"/>
  <c r="D53" i="30" l="1"/>
  <c r="D54" i="30" s="1"/>
  <c r="D55" i="30" s="1"/>
  <c r="D57" i="30" s="1"/>
  <c r="I55" i="30"/>
  <c r="I57" i="30" s="1"/>
  <c r="I59" i="30" s="1"/>
  <c r="H52" i="30"/>
  <c r="H53" i="30" s="1"/>
  <c r="H54" i="30" s="1"/>
  <c r="H55" i="30" s="1"/>
  <c r="E52" i="30"/>
  <c r="E53" i="30" s="1"/>
  <c r="E54" i="30" s="1"/>
  <c r="E55" i="30" s="1"/>
  <c r="K57" i="30"/>
  <c r="K59" i="30" s="1"/>
  <c r="J52" i="30"/>
  <c r="M51" i="30"/>
  <c r="F55" i="30"/>
  <c r="F57" i="30" s="1"/>
  <c r="F59" i="30" s="1"/>
  <c r="M53" i="30" l="1"/>
  <c r="N51" i="30"/>
  <c r="J53" i="30"/>
  <c r="E57" i="30"/>
  <c r="E59" i="30" s="1"/>
  <c r="H57" i="30"/>
  <c r="H59" i="30" s="1"/>
  <c r="M52" i="30"/>
  <c r="N52" i="30" s="1"/>
  <c r="M55" i="30"/>
  <c r="M54" i="30"/>
  <c r="J54" i="30" l="1"/>
  <c r="J55" i="30" s="1"/>
  <c r="J57" i="30" s="1"/>
  <c r="J59" i="30" s="1"/>
  <c r="N53" i="30"/>
  <c r="M57" i="30"/>
  <c r="M59" i="30" s="1"/>
  <c r="N54" i="30" l="1"/>
  <c r="N57" i="30" s="1"/>
  <c r="N55" i="30"/>
  <c r="X11" i="13" l="1"/>
  <c r="X25" i="13" l="1"/>
  <c r="X12" i="13"/>
  <c r="X13" i="13" l="1"/>
  <c r="X26" i="13"/>
  <c r="X27" i="13" l="1"/>
  <c r="X28" i="13" l="1"/>
  <c r="X14" i="13"/>
  <c r="X15" i="13" l="1"/>
  <c r="X29" i="13" l="1"/>
  <c r="X16" i="13" l="1"/>
  <c r="X30" i="13" l="1"/>
  <c r="X17" i="13" l="1"/>
  <c r="X31" i="13" l="1"/>
  <c r="X18" i="13" l="1"/>
  <c r="X32" i="13" l="1"/>
  <c r="X19" i="13" l="1"/>
  <c r="X33" i="13" l="1"/>
  <c r="X20" i="13" l="1"/>
  <c r="X34" i="13" l="1"/>
  <c r="X21" i="13" l="1"/>
  <c r="X35" i="13" l="1"/>
  <c r="X22" i="13" l="1"/>
  <c r="X36" i="1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62B26C-71B7-42BC-9A70-ED7469BA48F2}" keepAlive="1" name="Query - Table54" description="Connection to the 'Table54' query in the workbook." type="5" refreshedVersion="6">
    <dbPr connection="Provider=Microsoft.Mashup.OleDb.1;Data Source=$Workbook$;Location=Table54;Extended Properties=&quot;&quot;" command="SELECT * FROM [Table54]"/>
  </connection>
</connections>
</file>

<file path=xl/sharedStrings.xml><?xml version="1.0" encoding="utf-8"?>
<sst xmlns="http://schemas.openxmlformats.org/spreadsheetml/2006/main" count="630" uniqueCount="132">
  <si>
    <t>Name:</t>
  </si>
  <si>
    <t>Supervisor:</t>
  </si>
  <si>
    <t>TOTAL HOURS</t>
  </si>
  <si>
    <t>Comments</t>
  </si>
  <si>
    <t>Substitute</t>
  </si>
  <si>
    <t>Other</t>
  </si>
  <si>
    <t>Holiday</t>
  </si>
  <si>
    <t>Total Hours</t>
  </si>
  <si>
    <t>Check</t>
  </si>
  <si>
    <t>OVERTIME</t>
  </si>
  <si>
    <t>SL</t>
  </si>
  <si>
    <t>PL</t>
  </si>
  <si>
    <t>LAST week/LAST Month</t>
  </si>
  <si>
    <t>Week 1</t>
  </si>
  <si>
    <t>Week 2</t>
  </si>
  <si>
    <t>Week 3</t>
  </si>
  <si>
    <t>Week 4</t>
  </si>
  <si>
    <t>Week 5</t>
  </si>
  <si>
    <t>TOTALS</t>
  </si>
  <si>
    <t>TIME LIST</t>
  </si>
  <si>
    <t>Heading</t>
  </si>
  <si>
    <t>Grant County ESD Timesheet</t>
  </si>
  <si>
    <t>Holidays</t>
  </si>
  <si>
    <t>Year</t>
  </si>
  <si>
    <t xml:space="preserve">When </t>
  </si>
  <si>
    <t>Date</t>
  </si>
  <si>
    <t>Independence Day</t>
  </si>
  <si>
    <t>Labor Day</t>
  </si>
  <si>
    <t>The 1st Monday in September</t>
  </si>
  <si>
    <t>Veteran's Day</t>
  </si>
  <si>
    <t>Thanksgiving Day</t>
  </si>
  <si>
    <t>The 4th Thursday in November</t>
  </si>
  <si>
    <t>Thanksgiving Holiday</t>
  </si>
  <si>
    <t>The 4th Friday in November</t>
  </si>
  <si>
    <t>Christmas Day</t>
  </si>
  <si>
    <t>New Year's Day</t>
  </si>
  <si>
    <t>The 3rd Monday in January</t>
  </si>
  <si>
    <t>President's Day</t>
  </si>
  <si>
    <t>The 3rd Monday in February</t>
  </si>
  <si>
    <t>Memorial Day</t>
  </si>
  <si>
    <t>The last Monday in May</t>
  </si>
  <si>
    <t>LUNCH</t>
  </si>
  <si>
    <t>Monument SD #8 Timesheet</t>
  </si>
  <si>
    <t>Prairie City SD #4 Timesheet</t>
  </si>
  <si>
    <t>MLK Jr. Day</t>
  </si>
  <si>
    <t>esd</t>
  </si>
  <si>
    <t>pc</t>
  </si>
  <si>
    <t>mon</t>
  </si>
  <si>
    <t>ESD</t>
  </si>
  <si>
    <t>Payday</t>
  </si>
  <si>
    <t>PC</t>
  </si>
  <si>
    <t>Pday Start</t>
  </si>
  <si>
    <t>MON</t>
  </si>
  <si>
    <t>Beginning Date</t>
  </si>
  <si>
    <t>Teacher Payday</t>
  </si>
  <si>
    <t>Last DOS</t>
  </si>
  <si>
    <t>Name</t>
  </si>
  <si>
    <t>EE Name</t>
  </si>
  <si>
    <t>Position1</t>
  </si>
  <si>
    <t>Position2</t>
  </si>
  <si>
    <t>Position3</t>
  </si>
  <si>
    <t>Timesheet Due</t>
  </si>
  <si>
    <t>C1</t>
  </si>
  <si>
    <t>C2</t>
  </si>
  <si>
    <t>C3</t>
  </si>
  <si>
    <t>C4</t>
  </si>
  <si>
    <t>`</t>
  </si>
  <si>
    <t>C5</t>
  </si>
  <si>
    <t>Position4</t>
  </si>
  <si>
    <t>Day</t>
  </si>
  <si>
    <t>Column1</t>
  </si>
  <si>
    <t>Day2</t>
  </si>
  <si>
    <t>School</t>
  </si>
  <si>
    <t>FN</t>
  </si>
  <si>
    <t>LN</t>
  </si>
  <si>
    <t>Position</t>
  </si>
  <si>
    <t>Partial Lookup</t>
  </si>
  <si>
    <t>PC - VISIONS EE INFO</t>
  </si>
  <si>
    <t>MON - VISIONS EE INFO</t>
  </si>
  <si>
    <t>Employee List</t>
  </si>
  <si>
    <t>Current Heading</t>
  </si>
  <si>
    <t>ESD - VISIONS EE INFO</t>
  </si>
  <si>
    <t>DV</t>
  </si>
  <si>
    <t>Dayville - Visions EE Info</t>
  </si>
  <si>
    <t>Dayville</t>
  </si>
  <si>
    <t>C43</t>
  </si>
  <si>
    <t>C54</t>
  </si>
  <si>
    <t>DAY</t>
  </si>
  <si>
    <t>Position5</t>
  </si>
  <si>
    <t>Dayville SD #16J Timesheet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</si>
  <si>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</si>
  <si>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</si>
  <si>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</si>
  <si>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</si>
  <si>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</si>
  <si>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</si>
  <si>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</si>
  <si>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</si>
  <si>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</si>
  <si>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</si>
  <si>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</si>
  <si>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</si>
  <si>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Name Search</t>
  </si>
  <si>
    <t>Juneteenth</t>
  </si>
  <si>
    <t>June 19 Observed On Weekeday</t>
  </si>
  <si>
    <t>Christmas Observed</t>
  </si>
  <si>
    <t>New Year's Day Observed</t>
  </si>
  <si>
    <t>Sick Leave</t>
  </si>
  <si>
    <t>Personal Leave</t>
  </si>
  <si>
    <t>Vacation/Other Leave</t>
  </si>
  <si>
    <t>Count</t>
  </si>
  <si>
    <t>Position6</t>
  </si>
  <si>
    <t>Position7</t>
  </si>
  <si>
    <t>C55</t>
  </si>
  <si>
    <t/>
  </si>
  <si>
    <t>Christmas Break Start</t>
  </si>
  <si>
    <t>Christmas Break End</t>
  </si>
  <si>
    <t>Spring Break Start</t>
  </si>
  <si>
    <t>Spring Break End</t>
  </si>
  <si>
    <t>LC</t>
  </si>
  <si>
    <t>SD Abbreviation</t>
  </si>
  <si>
    <t>Christmas Break Count</t>
  </si>
  <si>
    <t>Spring Break</t>
  </si>
  <si>
    <t>Spring Break Count</t>
  </si>
  <si>
    <t>ENTER POSITION IN THIS CELL</t>
  </si>
  <si>
    <t>Last Day of School</t>
  </si>
  <si>
    <t>Long Creek SD #17 Timesheet</t>
  </si>
  <si>
    <t>C6</t>
  </si>
  <si>
    <t>C61</t>
  </si>
  <si>
    <t>Column2</t>
  </si>
  <si>
    <t>SD</t>
  </si>
  <si>
    <t>Dayville SD #16J Timesheet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</si>
</sst>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"/>
    <numFmt numFmtId="165" formatCode="d"/>
    <numFmt numFmtId="166" formatCode="0;\-0;;@"/>
    <numFmt numFmtId="167" formatCode="[$-F800]dddd\,\ mmmm\ dd\,\ yyyy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A0101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 Light"/>
      <family val="2"/>
      <scheme val="major"/>
    </font>
    <font>
      <sz val="16"/>
      <name val="Tahoma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82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20" fontId="7" fillId="0" borderId="0" xfId="0" applyNumberFormat="1" applyFont="1"/>
    <xf numFmtId="0" fontId="7" fillId="0" borderId="0" xfId="0" applyNumberFormat="1" applyFont="1"/>
    <xf numFmtId="0" fontId="7" fillId="0" borderId="14" xfId="0" applyFont="1" applyBorder="1"/>
    <xf numFmtId="0" fontId="7" fillId="0" borderId="9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2" fontId="7" fillId="0" borderId="0" xfId="0" applyNumberFormat="1" applyFont="1"/>
    <xf numFmtId="167" fontId="7" fillId="0" borderId="0" xfId="0" applyNumberFormat="1" applyFont="1" applyBorder="1"/>
    <xf numFmtId="1" fontId="7" fillId="0" borderId="0" xfId="0" applyNumberFormat="1" applyFont="1" applyBorder="1"/>
    <xf numFmtId="1" fontId="7" fillId="0" borderId="0" xfId="0" applyNumberFormat="1" applyFont="1"/>
    <xf numFmtId="0" fontId="7" fillId="0" borderId="14" xfId="0" applyFont="1" applyBorder="1" applyAlignment="1">
      <alignment horizontal="right"/>
    </xf>
    <xf numFmtId="0" fontId="10" fillId="0" borderId="14" xfId="0" applyFont="1" applyBorder="1"/>
    <xf numFmtId="0" fontId="7" fillId="0" borderId="14" xfId="0" applyFont="1" applyBorder="1" applyAlignment="1">
      <alignment horizontal="center" vertical="center"/>
    </xf>
    <xf numFmtId="14" fontId="7" fillId="0" borderId="9" xfId="0" applyNumberFormat="1" applyFont="1" applyBorder="1"/>
    <xf numFmtId="14" fontId="9" fillId="0" borderId="7" xfId="0" applyNumberFormat="1" applyFont="1" applyBorder="1"/>
    <xf numFmtId="14" fontId="7" fillId="0" borderId="7" xfId="0" applyNumberFormat="1" applyFont="1" applyBorder="1"/>
    <xf numFmtId="0" fontId="7" fillId="0" borderId="7" xfId="0" applyFont="1" applyBorder="1" applyAlignment="1">
      <alignment horizontal="right" vertical="center" indent="1"/>
    </xf>
    <xf numFmtId="0" fontId="11" fillId="0" borderId="0" xfId="0" applyFont="1"/>
    <xf numFmtId="0" fontId="7" fillId="0" borderId="12" xfId="0" applyFont="1" applyBorder="1"/>
    <xf numFmtId="0" fontId="7" fillId="0" borderId="2" xfId="0" applyFont="1" applyBorder="1"/>
    <xf numFmtId="0" fontId="7" fillId="0" borderId="0" xfId="0" applyNumberFormat="1" applyFont="1" applyBorder="1"/>
    <xf numFmtId="14" fontId="7" fillId="0" borderId="0" xfId="0" applyNumberFormat="1" applyFont="1" applyBorder="1"/>
    <xf numFmtId="0" fontId="7" fillId="0" borderId="1" xfId="0" applyFont="1" applyBorder="1"/>
    <xf numFmtId="0" fontId="7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21" xfId="0" applyFont="1" applyBorder="1"/>
    <xf numFmtId="0" fontId="7" fillId="0" borderId="6" xfId="0" applyFont="1" applyBorder="1"/>
    <xf numFmtId="1" fontId="7" fillId="0" borderId="6" xfId="0" applyNumberFormat="1" applyFont="1" applyBorder="1"/>
    <xf numFmtId="0" fontId="7" fillId="0" borderId="24" xfId="0" applyFont="1" applyBorder="1" applyAlignment="1">
      <alignment horizontal="right"/>
    </xf>
    <xf numFmtId="0" fontId="7" fillId="0" borderId="25" xfId="0" applyFont="1" applyBorder="1"/>
    <xf numFmtId="0" fontId="7" fillId="0" borderId="26" xfId="0" applyFont="1" applyBorder="1"/>
    <xf numFmtId="0" fontId="7" fillId="0" borderId="0" xfId="0" applyFont="1" applyBorder="1" applyAlignment="1">
      <alignment wrapText="1"/>
    </xf>
    <xf numFmtId="2" fontId="7" fillId="0" borderId="14" xfId="0" applyNumberFormat="1" applyFont="1" applyBorder="1"/>
    <xf numFmtId="16" fontId="7" fillId="0" borderId="3" xfId="0" applyNumberFormat="1" applyFont="1" applyBorder="1" applyAlignment="1">
      <alignment horizontal="right"/>
    </xf>
    <xf numFmtId="16" fontId="7" fillId="0" borderId="0" xfId="0" applyNumberFormat="1" applyFont="1" applyBorder="1" applyAlignment="1">
      <alignment horizontal="right"/>
    </xf>
    <xf numFmtId="0" fontId="8" fillId="0" borderId="16" xfId="0" applyFont="1" applyBorder="1"/>
    <xf numFmtId="0" fontId="8" fillId="0" borderId="8" xfId="0" applyFont="1" applyBorder="1"/>
    <xf numFmtId="0" fontId="8" fillId="0" borderId="15" xfId="0" applyFont="1" applyBorder="1" applyAlignment="1">
      <alignment horizontal="center"/>
    </xf>
    <xf numFmtId="18" fontId="7" fillId="0" borderId="0" xfId="0" applyNumberFormat="1" applyFont="1" applyBorder="1"/>
    <xf numFmtId="20" fontId="7" fillId="0" borderId="0" xfId="0" applyNumberFormat="1" applyFont="1" applyBorder="1"/>
    <xf numFmtId="166" fontId="7" fillId="0" borderId="0" xfId="0" applyNumberFormat="1" applyFont="1"/>
    <xf numFmtId="0" fontId="7" fillId="5" borderId="2" xfId="0" applyFont="1" applyFill="1" applyBorder="1" applyProtection="1"/>
    <xf numFmtId="166" fontId="12" fillId="0" borderId="0" xfId="0" applyNumberFormat="1" applyFont="1" applyFill="1" applyBorder="1"/>
    <xf numFmtId="166" fontId="12" fillId="0" borderId="19" xfId="0" applyNumberFormat="1" applyFont="1" applyFill="1" applyBorder="1"/>
    <xf numFmtId="0" fontId="7" fillId="0" borderId="2" xfId="0" applyFont="1" applyFill="1" applyBorder="1" applyProtection="1"/>
    <xf numFmtId="166" fontId="7" fillId="0" borderId="18" xfId="0" applyNumberFormat="1" applyFont="1" applyFill="1" applyBorder="1"/>
    <xf numFmtId="0" fontId="0" fillId="0" borderId="0" xfId="0" applyNumberFormat="1" applyFont="1" applyBorder="1" applyAlignment="1" applyProtection="1">
      <alignment horizontal="center"/>
    </xf>
    <xf numFmtId="0" fontId="7" fillId="6" borderId="2" xfId="0" applyFont="1" applyFill="1" applyBorder="1"/>
    <xf numFmtId="166" fontId="11" fillId="0" borderId="0" xfId="0" applyNumberFormat="1" applyFont="1"/>
    <xf numFmtId="166" fontId="13" fillId="0" borderId="0" xfId="0" applyNumberFormat="1" applyFont="1" applyFill="1" applyBorder="1" applyAlignment="1" applyProtection="1"/>
    <xf numFmtId="0" fontId="4" fillId="0" borderId="0" xfId="1" applyFont="1" applyFill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2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Fill="1" applyAlignment="1" applyProtection="1">
      <alignment wrapText="1"/>
      <protection locked="0"/>
    </xf>
    <xf numFmtId="166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/>
    <xf numFmtId="166" fontId="7" fillId="0" borderId="0" xfId="0" applyNumberFormat="1" applyFont="1" applyFill="1" applyBorder="1"/>
    <xf numFmtId="0" fontId="7" fillId="0" borderId="27" xfId="0" applyFont="1" applyBorder="1"/>
    <xf numFmtId="0" fontId="7" fillId="0" borderId="28" xfId="0" applyFont="1" applyBorder="1"/>
    <xf numFmtId="0" fontId="7" fillId="0" borderId="2" xfId="0" applyFont="1" applyBorder="1" applyAlignment="1">
      <alignment horizontal="right"/>
    </xf>
    <xf numFmtId="0" fontId="7" fillId="9" borderId="2" xfId="0" applyFont="1" applyFill="1" applyBorder="1"/>
    <xf numFmtId="0" fontId="7" fillId="9" borderId="23" xfId="0" applyFont="1" applyFill="1" applyBorder="1"/>
    <xf numFmtId="0" fontId="7" fillId="0" borderId="20" xfId="0" applyFont="1" applyBorder="1"/>
    <xf numFmtId="0" fontId="7" fillId="5" borderId="2" xfId="0" applyFont="1" applyFill="1" applyBorder="1" applyAlignment="1">
      <alignment horizontal="right"/>
    </xf>
    <xf numFmtId="15" fontId="7" fillId="0" borderId="2" xfId="0" applyNumberFormat="1" applyFont="1" applyBorder="1"/>
    <xf numFmtId="1" fontId="7" fillId="0" borderId="2" xfId="0" applyNumberFormat="1" applyFont="1" applyBorder="1"/>
    <xf numFmtId="15" fontId="7" fillId="5" borderId="2" xfId="0" applyNumberFormat="1" applyFont="1" applyFill="1" applyBorder="1"/>
    <xf numFmtId="1" fontId="7" fillId="5" borderId="2" xfId="0" applyNumberFormat="1" applyFont="1" applyFill="1" applyBorder="1"/>
    <xf numFmtId="166" fontId="7" fillId="0" borderId="2" xfId="0" applyNumberFormat="1" applyFont="1" applyBorder="1"/>
    <xf numFmtId="0" fontId="11" fillId="0" borderId="2" xfId="0" applyFont="1" applyBorder="1"/>
    <xf numFmtId="2" fontId="15" fillId="0" borderId="14" xfId="0" applyNumberFormat="1" applyFont="1" applyBorder="1"/>
    <xf numFmtId="0" fontId="15" fillId="0" borderId="0" xfId="0" applyFont="1" applyBorder="1"/>
    <xf numFmtId="164" fontId="4" fillId="0" borderId="2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Border="1" applyAlignment="1" applyProtection="1">
      <alignment wrapText="1"/>
      <protection locked="0"/>
    </xf>
    <xf numFmtId="0" fontId="16" fillId="0" borderId="0" xfId="0" applyFont="1"/>
    <xf numFmtId="0" fontId="4" fillId="0" borderId="0" xfId="0" applyFont="1" applyFill="1" applyAlignment="1" applyProtection="1">
      <alignment horizontal="center" wrapText="1"/>
    </xf>
    <xf numFmtId="166" fontId="4" fillId="0" borderId="0" xfId="0" applyNumberFormat="1" applyFont="1" applyAlignment="1" applyProtection="1">
      <alignment horizontal="center" wrapText="1"/>
    </xf>
    <xf numFmtId="2" fontId="5" fillId="0" borderId="0" xfId="0" applyNumberFormat="1" applyFont="1" applyAlignment="1" applyProtection="1">
      <alignment horizontal="center" wrapText="1"/>
    </xf>
    <xf numFmtId="2" fontId="5" fillId="0" borderId="0" xfId="0" applyNumberFormat="1" applyFont="1" applyFill="1" applyAlignment="1" applyProtection="1">
      <alignment horizontal="center" wrapText="1"/>
    </xf>
    <xf numFmtId="2" fontId="4" fillId="0" borderId="0" xfId="0" applyNumberFormat="1" applyFont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  <protection locked="0"/>
    </xf>
    <xf numFmtId="166" fontId="4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Alignment="1" applyProtection="1">
      <alignment horizontal="center" wrapText="1"/>
      <protection locked="0"/>
    </xf>
    <xf numFmtId="2" fontId="5" fillId="0" borderId="0" xfId="0" applyNumberFormat="1" applyFont="1" applyFill="1" applyAlignment="1" applyProtection="1">
      <alignment horizontal="center" wrapText="1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7" fillId="0" borderId="2" xfId="0" applyFont="1" applyBorder="1" applyAlignment="1">
      <alignment horizontal="center"/>
    </xf>
    <xf numFmtId="166" fontId="7" fillId="0" borderId="0" xfId="0" applyNumberFormat="1" applyFont="1" applyAlignment="1">
      <alignment horizontal="left" vertical="center" indent="1"/>
    </xf>
    <xf numFmtId="0" fontId="7" fillId="0" borderId="14" xfId="0" applyNumberFormat="1" applyFont="1" applyBorder="1"/>
    <xf numFmtId="0" fontId="15" fillId="0" borderId="14" xfId="0" applyNumberFormat="1" applyFont="1" applyBorder="1"/>
    <xf numFmtId="0" fontId="4" fillId="5" borderId="2" xfId="0" applyFont="1" applyFill="1" applyBorder="1" applyAlignment="1" applyProtection="1">
      <alignment horizontal="center" wrapText="1"/>
      <protection locked="0"/>
    </xf>
    <xf numFmtId="0" fontId="7" fillId="10" borderId="0" xfId="0" applyFont="1" applyFill="1" applyBorder="1"/>
    <xf numFmtId="16" fontId="7" fillId="0" borderId="0" xfId="0" applyNumberFormat="1" applyFont="1" applyBorder="1"/>
    <xf numFmtId="0" fontId="10" fillId="0" borderId="0" xfId="0" applyFont="1" applyBorder="1"/>
    <xf numFmtId="0" fontId="7" fillId="9" borderId="0" xfId="0" applyFont="1" applyFill="1" applyBorder="1"/>
    <xf numFmtId="0" fontId="17" fillId="0" borderId="14" xfId="0" applyFont="1" applyBorder="1"/>
    <xf numFmtId="0" fontId="17" fillId="0" borderId="0" xfId="0" applyFont="1"/>
    <xf numFmtId="0" fontId="10" fillId="0" borderId="0" xfId="0" applyFont="1"/>
    <xf numFmtId="0" fontId="18" fillId="0" borderId="0" xfId="0" applyFont="1" applyBorder="1"/>
    <xf numFmtId="0" fontId="18" fillId="0" borderId="0" xfId="0" applyFont="1"/>
    <xf numFmtId="0" fontId="18" fillId="0" borderId="14" xfId="0" applyFont="1" applyBorder="1"/>
    <xf numFmtId="0" fontId="4" fillId="0" borderId="0" xfId="0" applyFont="1" applyFill="1" applyAlignment="1" applyProtection="1">
      <alignment wrapText="1"/>
    </xf>
    <xf numFmtId="0" fontId="4" fillId="0" borderId="0" xfId="0" applyFont="1" applyAlignment="1" applyProtection="1">
      <alignment wrapText="1"/>
    </xf>
    <xf numFmtId="165" fontId="4" fillId="0" borderId="2" xfId="0" applyNumberFormat="1" applyFont="1" applyFill="1" applyBorder="1" applyAlignment="1" applyProtection="1">
      <alignment horizontal="center" wrapText="1"/>
    </xf>
    <xf numFmtId="2" fontId="4" fillId="0" borderId="2" xfId="0" applyNumberFormat="1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Alignment="1" applyProtection="1">
      <alignment horizontal="center" wrapText="1"/>
    </xf>
    <xf numFmtId="2" fontId="4" fillId="5" borderId="2" xfId="0" applyNumberFormat="1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right" wrapText="1"/>
      <protection locked="0"/>
    </xf>
    <xf numFmtId="0" fontId="4" fillId="0" borderId="0" xfId="3" applyFont="1" applyFill="1" applyAlignment="1" applyProtection="1">
      <alignment wrapText="1"/>
      <protection locked="0"/>
    </xf>
    <xf numFmtId="2" fontId="4" fillId="0" borderId="2" xfId="3" applyNumberFormat="1" applyFont="1" applyFill="1" applyBorder="1" applyAlignment="1" applyProtection="1">
      <alignment horizontal="center" wrapText="1"/>
      <protection locked="0"/>
    </xf>
    <xf numFmtId="0" fontId="4" fillId="0" borderId="2" xfId="3" applyFont="1" applyFill="1" applyBorder="1" applyAlignment="1" applyProtection="1">
      <alignment horizontal="right" wrapText="1"/>
      <protection locked="0"/>
    </xf>
    <xf numFmtId="0" fontId="4" fillId="0" borderId="0" xfId="1" applyFont="1" applyFill="1" applyAlignment="1" applyProtection="1">
      <alignment wrapText="1"/>
      <protection locked="0"/>
    </xf>
    <xf numFmtId="2" fontId="4" fillId="0" borderId="2" xfId="1" applyNumberFormat="1" applyFont="1" applyFill="1" applyBorder="1" applyAlignment="1" applyProtection="1">
      <alignment horizontal="center" wrapText="1"/>
      <protection locked="0"/>
    </xf>
    <xf numFmtId="0" fontId="4" fillId="0" borderId="2" xfId="1" applyFont="1" applyFill="1" applyBorder="1" applyAlignment="1" applyProtection="1">
      <alignment horizontal="right" wrapText="1"/>
      <protection locked="0"/>
    </xf>
    <xf numFmtId="2" fontId="4" fillId="0" borderId="2" xfId="2" applyNumberFormat="1" applyFont="1" applyFill="1" applyBorder="1" applyAlignment="1" applyProtection="1">
      <alignment horizontal="center" wrapText="1"/>
      <protection locked="0"/>
    </xf>
    <xf numFmtId="0" fontId="4" fillId="0" borderId="2" xfId="2" applyFont="1" applyFill="1" applyBorder="1" applyAlignment="1" applyProtection="1">
      <alignment horizontal="right" wrapText="1"/>
      <protection locked="0"/>
    </xf>
    <xf numFmtId="2" fontId="4" fillId="5" borderId="2" xfId="0" applyNumberFormat="1" applyFont="1" applyFill="1" applyBorder="1" applyAlignment="1" applyProtection="1">
      <alignment horizontal="center"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</xf>
    <xf numFmtId="166" fontId="4" fillId="0" borderId="0" xfId="0" applyNumberFormat="1" applyFont="1" applyFill="1" applyBorder="1" applyAlignment="1" applyProtection="1">
      <alignment horizontal="center" wrapText="1"/>
    </xf>
    <xf numFmtId="2" fontId="4" fillId="0" borderId="0" xfId="0" applyNumberFormat="1" applyFont="1" applyFill="1" applyBorder="1" applyAlignment="1" applyProtection="1">
      <alignment horizontal="center" wrapText="1"/>
    </xf>
    <xf numFmtId="166" fontId="4" fillId="0" borderId="0" xfId="0" applyNumberFormat="1" applyFont="1" applyFill="1" applyBorder="1" applyAlignment="1" applyProtection="1">
      <alignment wrapText="1"/>
      <protection locked="0"/>
    </xf>
    <xf numFmtId="166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Border="1" applyAlignment="1" applyProtection="1">
      <alignment horizontal="center" wrapText="1"/>
      <protection locked="0"/>
    </xf>
    <xf numFmtId="166" fontId="4" fillId="0" borderId="0" xfId="0" applyNumberFormat="1" applyFont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wrapText="1"/>
      <protection locked="0"/>
    </xf>
    <xf numFmtId="165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165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Border="1" applyAlignment="1" applyProtection="1">
      <alignment wrapText="1"/>
    </xf>
    <xf numFmtId="165" fontId="5" fillId="0" borderId="0" xfId="0" applyNumberFormat="1" applyFont="1" applyAlignment="1" applyProtection="1">
      <alignment horizontal="center" wrapText="1"/>
    </xf>
    <xf numFmtId="2" fontId="4" fillId="0" borderId="0" xfId="0" applyNumberFormat="1" applyFont="1" applyFill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</xf>
    <xf numFmtId="165" fontId="4" fillId="0" borderId="0" xfId="0" applyNumberFormat="1" applyFont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14" fontId="4" fillId="0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1" fontId="7" fillId="11" borderId="0" xfId="0" applyNumberFormat="1" applyFont="1" applyFill="1"/>
    <xf numFmtId="1" fontId="7" fillId="11" borderId="13" xfId="0" applyNumberFormat="1" applyFont="1" applyFill="1" applyBorder="1"/>
    <xf numFmtId="167" fontId="7" fillId="11" borderId="0" xfId="0" applyNumberFormat="1" applyFont="1" applyFill="1" applyBorder="1"/>
    <xf numFmtId="1" fontId="7" fillId="11" borderId="0" xfId="0" applyNumberFormat="1" applyFont="1" applyFill="1" applyBorder="1"/>
    <xf numFmtId="1" fontId="10" fillId="11" borderId="13" xfId="0" applyNumberFormat="1" applyFont="1" applyFill="1" applyBorder="1"/>
    <xf numFmtId="1" fontId="10" fillId="11" borderId="0" xfId="0" applyNumberFormat="1" applyFont="1" applyFill="1" applyBorder="1"/>
    <xf numFmtId="167" fontId="10" fillId="11" borderId="0" xfId="0" applyNumberFormat="1" applyFont="1" applyFill="1" applyBorder="1"/>
    <xf numFmtId="1" fontId="17" fillId="11" borderId="0" xfId="0" applyNumberFormat="1" applyFont="1" applyFill="1" applyBorder="1"/>
    <xf numFmtId="167" fontId="17" fillId="11" borderId="0" xfId="0" applyNumberFormat="1" applyFont="1" applyFill="1" applyBorder="1"/>
    <xf numFmtId="1" fontId="18" fillId="11" borderId="0" xfId="0" applyNumberFormat="1" applyFont="1" applyFill="1" applyBorder="1"/>
    <xf numFmtId="167" fontId="18" fillId="11" borderId="0" xfId="0" applyNumberFormat="1" applyFont="1" applyFill="1" applyBorder="1"/>
    <xf numFmtId="0" fontId="7" fillId="11" borderId="0" xfId="0" applyFont="1" applyFill="1" applyBorder="1"/>
    <xf numFmtId="0" fontId="7" fillId="11" borderId="0" xfId="0" applyFont="1" applyFill="1"/>
    <xf numFmtId="167" fontId="7" fillId="11" borderId="0" xfId="0" applyNumberFormat="1" applyFont="1" applyFill="1"/>
    <xf numFmtId="167" fontId="7" fillId="12" borderId="0" xfId="0" applyNumberFormat="1" applyFont="1" applyFill="1"/>
    <xf numFmtId="1" fontId="7" fillId="12" borderId="0" xfId="0" applyNumberFormat="1" applyFont="1" applyFill="1"/>
    <xf numFmtId="1" fontId="7" fillId="12" borderId="13" xfId="0" applyNumberFormat="1" applyFont="1" applyFill="1" applyBorder="1"/>
    <xf numFmtId="1" fontId="7" fillId="12" borderId="0" xfId="0" applyNumberFormat="1" applyFont="1" applyFill="1" applyBorder="1"/>
    <xf numFmtId="167" fontId="7" fillId="12" borderId="0" xfId="0" applyNumberFormat="1" applyFont="1" applyFill="1" applyBorder="1"/>
    <xf numFmtId="1" fontId="10" fillId="12" borderId="13" xfId="0" applyNumberFormat="1" applyFont="1" applyFill="1" applyBorder="1"/>
    <xf numFmtId="1" fontId="10" fillId="12" borderId="0" xfId="0" applyNumberFormat="1" applyFont="1" applyFill="1" applyBorder="1"/>
    <xf numFmtId="167" fontId="10" fillId="12" borderId="0" xfId="0" applyNumberFormat="1" applyFont="1" applyFill="1" applyBorder="1"/>
    <xf numFmtId="1" fontId="17" fillId="12" borderId="0" xfId="0" applyNumberFormat="1" applyFont="1" applyFill="1" applyBorder="1"/>
    <xf numFmtId="167" fontId="17" fillId="12" borderId="0" xfId="0" applyNumberFormat="1" applyFont="1" applyFill="1" applyBorder="1"/>
    <xf numFmtId="1" fontId="18" fillId="12" borderId="0" xfId="0" applyNumberFormat="1" applyFont="1" applyFill="1" applyBorder="1"/>
    <xf numFmtId="167" fontId="18" fillId="12" borderId="0" xfId="0" applyNumberFormat="1" applyFont="1" applyFill="1" applyBorder="1"/>
    <xf numFmtId="0" fontId="7" fillId="12" borderId="0" xfId="0" applyFont="1" applyFill="1" applyBorder="1"/>
    <xf numFmtId="0" fontId="7" fillId="12" borderId="0" xfId="0" applyFont="1" applyFill="1"/>
    <xf numFmtId="167" fontId="7" fillId="13" borderId="0" xfId="0" applyNumberFormat="1" applyFont="1" applyFill="1"/>
    <xf numFmtId="1" fontId="7" fillId="13" borderId="0" xfId="0" applyNumberFormat="1" applyFont="1" applyFill="1"/>
    <xf numFmtId="0" fontId="7" fillId="13" borderId="0" xfId="0" applyFont="1" applyFill="1"/>
    <xf numFmtId="1" fontId="7" fillId="13" borderId="13" xfId="0" applyNumberFormat="1" applyFont="1" applyFill="1" applyBorder="1"/>
    <xf numFmtId="1" fontId="7" fillId="13" borderId="0" xfId="0" applyNumberFormat="1" applyFont="1" applyFill="1" applyBorder="1"/>
    <xf numFmtId="167" fontId="7" fillId="13" borderId="0" xfId="0" applyNumberFormat="1" applyFont="1" applyFill="1" applyBorder="1"/>
    <xf numFmtId="1" fontId="10" fillId="13" borderId="13" xfId="0" applyNumberFormat="1" applyFont="1" applyFill="1" applyBorder="1"/>
    <xf numFmtId="1" fontId="10" fillId="13" borderId="0" xfId="0" applyNumberFormat="1" applyFont="1" applyFill="1" applyBorder="1"/>
    <xf numFmtId="167" fontId="10" fillId="13" borderId="0" xfId="0" applyNumberFormat="1" applyFont="1" applyFill="1" applyBorder="1"/>
    <xf numFmtId="1" fontId="17" fillId="13" borderId="0" xfId="0" applyNumberFormat="1" applyFont="1" applyFill="1" applyBorder="1"/>
    <xf numFmtId="167" fontId="17" fillId="13" borderId="0" xfId="0" applyNumberFormat="1" applyFont="1" applyFill="1" applyBorder="1"/>
    <xf numFmtId="1" fontId="18" fillId="13" borderId="0" xfId="0" applyNumberFormat="1" applyFont="1" applyFill="1" applyBorder="1"/>
    <xf numFmtId="167" fontId="18" fillId="13" borderId="0" xfId="0" applyNumberFormat="1" applyFont="1" applyFill="1" applyBorder="1"/>
    <xf numFmtId="0" fontId="7" fillId="13" borderId="0" xfId="0" applyFont="1" applyFill="1" applyBorder="1"/>
    <xf numFmtId="0" fontId="7" fillId="14" borderId="0" xfId="0" applyFont="1" applyFill="1"/>
    <xf numFmtId="167" fontId="7" fillId="14" borderId="0" xfId="0" applyNumberFormat="1" applyFont="1" applyFill="1"/>
    <xf numFmtId="1" fontId="7" fillId="14" borderId="0" xfId="0" applyNumberFormat="1" applyFont="1" applyFill="1" applyBorder="1"/>
    <xf numFmtId="167" fontId="7" fillId="14" borderId="0" xfId="0" applyNumberFormat="1" applyFont="1" applyFill="1" applyBorder="1"/>
    <xf numFmtId="1" fontId="10" fillId="14" borderId="0" xfId="0" applyNumberFormat="1" applyFont="1" applyFill="1" applyBorder="1"/>
    <xf numFmtId="167" fontId="10" fillId="14" borderId="0" xfId="0" applyNumberFormat="1" applyFont="1" applyFill="1" applyBorder="1"/>
    <xf numFmtId="1" fontId="17" fillId="14" borderId="0" xfId="0" applyNumberFormat="1" applyFont="1" applyFill="1" applyBorder="1"/>
    <xf numFmtId="167" fontId="17" fillId="14" borderId="0" xfId="0" applyNumberFormat="1" applyFont="1" applyFill="1" applyBorder="1"/>
    <xf numFmtId="1" fontId="18" fillId="14" borderId="0" xfId="0" applyNumberFormat="1" applyFont="1" applyFill="1" applyBorder="1"/>
    <xf numFmtId="167" fontId="18" fillId="14" borderId="0" xfId="0" applyNumberFormat="1" applyFont="1" applyFill="1" applyBorder="1"/>
    <xf numFmtId="2" fontId="7" fillId="14" borderId="0" xfId="0" applyNumberFormat="1" applyFont="1" applyFill="1" applyBorder="1"/>
    <xf numFmtId="1" fontId="7" fillId="14" borderId="0" xfId="0" applyNumberFormat="1" applyFont="1" applyFill="1"/>
    <xf numFmtId="2" fontId="7" fillId="14" borderId="0" xfId="0" applyNumberFormat="1" applyFont="1" applyFill="1"/>
    <xf numFmtId="0" fontId="7" fillId="11" borderId="14" xfId="0" applyFont="1" applyFill="1" applyBorder="1" applyAlignment="1">
      <alignment horizontal="right"/>
    </xf>
    <xf numFmtId="167" fontId="7" fillId="11" borderId="7" xfId="0" applyNumberFormat="1" applyFont="1" applyFill="1" applyBorder="1"/>
    <xf numFmtId="0" fontId="10" fillId="11" borderId="14" xfId="0" applyFont="1" applyFill="1" applyBorder="1"/>
    <xf numFmtId="167" fontId="10" fillId="11" borderId="7" xfId="0" applyNumberFormat="1" applyFont="1" applyFill="1" applyBorder="1"/>
    <xf numFmtId="0" fontId="17" fillId="11" borderId="14" xfId="0" applyFont="1" applyFill="1" applyBorder="1"/>
    <xf numFmtId="167" fontId="17" fillId="11" borderId="7" xfId="0" applyNumberFormat="1" applyFont="1" applyFill="1" applyBorder="1"/>
    <xf numFmtId="0" fontId="18" fillId="11" borderId="0" xfId="0" applyNumberFormat="1" applyFont="1" applyFill="1" applyBorder="1"/>
    <xf numFmtId="0" fontId="18" fillId="11" borderId="14" xfId="0" applyNumberFormat="1" applyFont="1" applyFill="1" applyBorder="1"/>
    <xf numFmtId="167" fontId="18" fillId="11" borderId="7" xfId="0" applyNumberFormat="1" applyFont="1" applyFill="1" applyBorder="1"/>
    <xf numFmtId="0" fontId="7" fillId="11" borderId="14" xfId="0" applyNumberFormat="1" applyFont="1" applyFill="1" applyBorder="1"/>
    <xf numFmtId="167" fontId="8" fillId="11" borderId="11" xfId="0" applyNumberFormat="1" applyFont="1" applyFill="1" applyBorder="1"/>
    <xf numFmtId="0" fontId="8" fillId="0" borderId="0" xfId="0" applyFont="1"/>
    <xf numFmtId="0" fontId="19" fillId="11" borderId="14" xfId="0" applyFont="1" applyFill="1" applyBorder="1" applyAlignment="1">
      <alignment horizontal="center" vertical="center"/>
    </xf>
    <xf numFmtId="167" fontId="19" fillId="11" borderId="7" xfId="0" applyNumberFormat="1" applyFont="1" applyFill="1" applyBorder="1" applyAlignment="1">
      <alignment horizontal="center"/>
    </xf>
    <xf numFmtId="167" fontId="19" fillId="14" borderId="0" xfId="0" applyNumberFormat="1" applyFont="1" applyFill="1" applyBorder="1" applyAlignment="1">
      <alignment horizontal="center"/>
    </xf>
    <xf numFmtId="167" fontId="19" fillId="13" borderId="13" xfId="0" applyNumberFormat="1" applyFont="1" applyFill="1" applyBorder="1" applyAlignment="1">
      <alignment horizontal="center"/>
    </xf>
    <xf numFmtId="167" fontId="19" fillId="13" borderId="0" xfId="0" applyNumberFormat="1" applyFont="1" applyFill="1" applyBorder="1" applyAlignment="1">
      <alignment horizontal="center"/>
    </xf>
    <xf numFmtId="167" fontId="19" fillId="12" borderId="13" xfId="0" applyNumberFormat="1" applyFont="1" applyFill="1" applyBorder="1" applyAlignment="1">
      <alignment horizontal="center"/>
    </xf>
    <xf numFmtId="167" fontId="19" fillId="12" borderId="0" xfId="0" applyNumberFormat="1" applyFont="1" applyFill="1" applyBorder="1" applyAlignment="1">
      <alignment horizontal="center"/>
    </xf>
    <xf numFmtId="1" fontId="19" fillId="11" borderId="0" xfId="0" applyNumberFormat="1" applyFont="1" applyFill="1" applyBorder="1" applyAlignment="1">
      <alignment horizontal="center"/>
    </xf>
    <xf numFmtId="167" fontId="19" fillId="11" borderId="0" xfId="0" applyNumberFormat="1" applyFont="1" applyFill="1" applyBorder="1" applyAlignment="1">
      <alignment horizontal="center"/>
    </xf>
    <xf numFmtId="167" fontId="19" fillId="0" borderId="0" xfId="0" applyNumberFormat="1" applyFont="1" applyAlignment="1">
      <alignment horizontal="center"/>
    </xf>
    <xf numFmtId="0" fontId="8" fillId="0" borderId="0" xfId="0" applyFont="1" applyFill="1"/>
    <xf numFmtId="167" fontId="8" fillId="0" borderId="0" xfId="0" applyNumberFormat="1" applyFont="1" applyFill="1"/>
    <xf numFmtId="1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/>
    <xf numFmtId="0" fontId="7" fillId="9" borderId="2" xfId="0" applyFont="1" applyFill="1" applyBorder="1" applyAlignment="1">
      <alignment horizontal="right"/>
    </xf>
    <xf numFmtId="15" fontId="7" fillId="9" borderId="2" xfId="0" applyNumberFormat="1" applyFont="1" applyFill="1" applyBorder="1"/>
    <xf numFmtId="1" fontId="7" fillId="9" borderId="2" xfId="0" applyNumberFormat="1" applyFont="1" applyFill="1" applyBorder="1"/>
    <xf numFmtId="0" fontId="7" fillId="0" borderId="2" xfId="0" applyFont="1" applyFill="1" applyBorder="1" applyAlignment="1">
      <alignment horizontal="right"/>
    </xf>
    <xf numFmtId="15" fontId="7" fillId="0" borderId="2" xfId="0" applyNumberFormat="1" applyFont="1" applyFill="1" applyBorder="1"/>
    <xf numFmtId="0" fontId="7" fillId="0" borderId="2" xfId="0" applyFont="1" applyFill="1" applyBorder="1"/>
    <xf numFmtId="0" fontId="8" fillId="5" borderId="25" xfId="0" applyFont="1" applyFill="1" applyBorder="1" applyAlignment="1"/>
    <xf numFmtId="0" fontId="7" fillId="0" borderId="17" xfId="0" applyFont="1" applyBorder="1" applyAlignment="1">
      <alignment horizontal="left"/>
    </xf>
    <xf numFmtId="0" fontId="7" fillId="9" borderId="17" xfId="0" applyFont="1" applyFill="1" applyBorder="1" applyAlignment="1">
      <alignment horizontal="left"/>
    </xf>
    <xf numFmtId="0" fontId="7" fillId="9" borderId="30" xfId="0" applyFont="1" applyFill="1" applyBorder="1" applyAlignment="1">
      <alignment horizontal="left"/>
    </xf>
    <xf numFmtId="0" fontId="8" fillId="5" borderId="16" xfId="0" applyFont="1" applyFill="1" applyBorder="1" applyAlignment="1"/>
    <xf numFmtId="0" fontId="8" fillId="5" borderId="8" xfId="0" applyFont="1" applyFill="1" applyBorder="1" applyAlignment="1"/>
    <xf numFmtId="0" fontId="8" fillId="5" borderId="15" xfId="0" applyFont="1" applyFill="1" applyBorder="1" applyAlignment="1"/>
    <xf numFmtId="0" fontId="7" fillId="9" borderId="4" xfId="0" applyFont="1" applyFill="1" applyBorder="1" applyAlignment="1">
      <alignment horizontal="left"/>
    </xf>
    <xf numFmtId="167" fontId="20" fillId="11" borderId="13" xfId="0" applyNumberFormat="1" applyFont="1" applyFill="1" applyBorder="1"/>
    <xf numFmtId="167" fontId="20" fillId="14" borderId="17" xfId="0" applyNumberFormat="1" applyFont="1" applyFill="1" applyBorder="1" applyAlignment="1">
      <alignment horizontal="center"/>
    </xf>
    <xf numFmtId="1" fontId="20" fillId="14" borderId="17" xfId="0" applyNumberFormat="1" applyFont="1" applyFill="1" applyBorder="1" applyAlignment="1">
      <alignment horizontal="center"/>
    </xf>
    <xf numFmtId="2" fontId="20" fillId="14" borderId="10" xfId="0" applyNumberFormat="1" applyFont="1" applyFill="1" applyBorder="1"/>
    <xf numFmtId="1" fontId="20" fillId="13" borderId="17" xfId="0" applyNumberFormat="1" applyFont="1" applyFill="1" applyBorder="1" applyAlignment="1">
      <alignment horizontal="center"/>
    </xf>
    <xf numFmtId="1" fontId="20" fillId="13" borderId="11" xfId="0" applyNumberFormat="1" applyFont="1" applyFill="1" applyBorder="1" applyAlignment="1">
      <alignment horizontal="center"/>
    </xf>
    <xf numFmtId="1" fontId="20" fillId="13" borderId="10" xfId="0" applyNumberFormat="1" applyFont="1" applyFill="1" applyBorder="1"/>
    <xf numFmtId="1" fontId="20" fillId="12" borderId="13" xfId="0" applyNumberFormat="1" applyFont="1" applyFill="1" applyBorder="1" applyAlignment="1">
      <alignment horizontal="center"/>
    </xf>
    <xf numFmtId="1" fontId="20" fillId="12" borderId="11" xfId="0" applyNumberFormat="1" applyFont="1" applyFill="1" applyBorder="1" applyAlignment="1">
      <alignment horizontal="center"/>
    </xf>
    <xf numFmtId="1" fontId="20" fillId="12" borderId="10" xfId="0" applyNumberFormat="1" applyFont="1" applyFill="1" applyBorder="1"/>
    <xf numFmtId="1" fontId="7" fillId="11" borderId="17" xfId="0" applyNumberFormat="1" applyFont="1" applyFill="1" applyBorder="1" applyAlignment="1">
      <alignment horizontal="center"/>
    </xf>
    <xf numFmtId="167" fontId="7" fillId="11" borderId="11" xfId="0" applyNumberFormat="1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166" fontId="14" fillId="0" borderId="1" xfId="0" applyNumberFormat="1" applyFont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0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Border="1" applyAlignment="1" applyProtection="1">
      <alignment horizontal="center" wrapText="1"/>
      <protection locked="0"/>
    </xf>
    <xf numFmtId="0" fontId="7" fillId="8" borderId="25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Accent1" xfId="3" builtinId="29"/>
    <cellStyle name="Bad" xfId="2" builtinId="27"/>
    <cellStyle name="Good" xfId="1" builtinId="26"/>
    <cellStyle name="Normal" xfId="0" builtinId="0"/>
  </cellStyles>
  <dxfs count="5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166" formatCode="0;\-0;;@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0;\-0;;@"/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12529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6" formatCode="0;\-0;;@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numFmt numFmtId="166" formatCode="0;\-0;;@"/>
    </dxf>
    <dxf>
      <numFmt numFmtId="166" formatCode="0;\-0;;@"/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3" formatCode="h:mm\ AM/PM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7" formatCode="[$-F800]dddd\,\ mmmm\ dd\,\ yyyy"/>
      <alignment horizontal="center" vertical="bottom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ill>
        <patternFill patternType="solid">
          <fgColor auto="1"/>
          <bgColor theme="4" tint="0.39994506668294322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gradientFill degree="45">
          <stop position="0">
            <color rgb="FF92D050"/>
          </stop>
          <stop position="0.5">
            <color rgb="FFFFC00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ED69DA"/>
          </stop>
        </gradientFill>
      </fill>
    </dxf>
    <dxf>
      <fill>
        <gradientFill degree="45">
          <stop position="0">
            <color rgb="FFFFFF00"/>
          </stop>
          <stop position="0.5">
            <color theme="4"/>
          </stop>
          <stop position="1">
            <color rgb="FFFFFF00"/>
          </stop>
        </gradient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39994506668294322"/>
        </patternFill>
      </fill>
    </dxf>
    <dxf>
      <font>
        <color theme="2" tint="-9.9948118533890809E-2"/>
      </font>
    </dxf>
    <dxf>
      <font>
        <color theme="0"/>
      </font>
    </dxf>
  </dxfs>
  <tableStyles count="0" defaultTableStyle="TableStyleMedium2" defaultPivotStyle="PivotStyleLight16"/>
  <colors>
    <mruColors>
      <color rgb="FFFF5050"/>
      <color rgb="FFED6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oungt\AppData\Local\Microsoft\Windows\INetCache\Content.Outlook\58IWGBWQ\Timesheet%20Template%20(All%20School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e - July 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Dates" displayName="PRDates" ref="Q8:AF81" totalsRowShown="0" headerRowDxfId="114" dataDxfId="113" tableBorderDxfId="112">
  <autoFilter ref="Q8:AF81" xr:uid="{ED9FEFA7-2CA5-4F83-9AAB-2C02E15B605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6">
    <tableColumn id="1" xr3:uid="{00000000-0010-0000-0000-000001000000}" name="Pday Start" dataDxfId="111" totalsRowDxfId="110"/>
    <tableColumn id="9" xr3:uid="{00000000-0010-0000-0000-000009000000}" name="ESD" dataDxfId="109" totalsRowDxfId="108">
      <calculatedColumnFormula>PRDates[[#This Row],[C1]]</calculatedColumnFormula>
    </tableColumn>
    <tableColumn id="2" xr3:uid="{00000000-0010-0000-0000-000002000000}" name="C1" dataDxfId="107" totalsRowDxfId="106"/>
    <tableColumn id="3" xr3:uid="{00000000-0010-0000-0000-000003000000}" name="PC" dataDxfId="105"/>
    <tableColumn id="4" xr3:uid="{00000000-0010-0000-0000-000004000000}" name="C2" dataDxfId="104" totalsRowDxfId="103"/>
    <tableColumn id="5" xr3:uid="{00000000-0010-0000-0000-000005000000}" name="C3" dataDxfId="102" totalsRowDxfId="101"/>
    <tableColumn id="6" xr3:uid="{00000000-0010-0000-0000-000006000000}" name="MON" dataDxfId="100" totalsRowDxfId="99"/>
    <tableColumn id="7" xr3:uid="{00000000-0010-0000-0000-000007000000}" name="C4" dataDxfId="98" totalsRowDxfId="97"/>
    <tableColumn id="8" xr3:uid="{00000000-0010-0000-0000-000008000000}" name="C5" dataDxfId="96" totalsRowDxfId="95"/>
    <tableColumn id="13" xr3:uid="{3E42E19A-1580-4327-AD52-0D5FFA17D9DB}" name="DAY" dataDxfId="94" totalsRowDxfId="93"/>
    <tableColumn id="14" xr3:uid="{4DD04AED-BC12-48AB-9C51-8F502D3FB929}" name="C43" dataDxfId="92" totalsRowDxfId="91"/>
    <tableColumn id="15" xr3:uid="{25F6FA8A-ABFC-4FD6-B9A9-EBAAFFD1B2D6}" name="C54" dataDxfId="90" totalsRowDxfId="89"/>
    <tableColumn id="11" xr3:uid="{945DDFCB-C78D-415A-B9A8-5D4688245AFE}" name="LC" dataDxfId="88">
      <calculatedColumnFormula>DATE($B$1,6,20)</calculatedColumnFormula>
    </tableColumn>
    <tableColumn id="12" xr3:uid="{57BC24E0-B8D1-4510-A37D-1B63B33C61A5}" name="C6" dataDxfId="87"/>
    <tableColumn id="16" xr3:uid="{92DEEB3C-129A-4DA9-BBBC-9E867C20C37A}" name="C61" dataDxfId="86">
      <calculatedColumnFormula>DATE($B$1,6,20)</calculatedColumnFormula>
    </tableColumn>
    <tableColumn id="10" xr3:uid="{49E81AE8-36BB-4864-B438-2B44D1963E39}" name="C55" dataDxfId="8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6" displayName="Table6" ref="D8:J38" totalsRowShown="0" headerRowDxfId="84" dataDxfId="83" tableBorderDxfId="82">
  <autoFilter ref="D8:J38" xr:uid="{00000000-0009-0000-0100-000006000000}"/>
  <tableColumns count="7">
    <tableColumn id="1" xr3:uid="{00000000-0010-0000-0100-000001000000}" name="Column1" dataDxfId="81"/>
    <tableColumn id="2" xr3:uid="{00000000-0010-0000-0100-000002000000}" name="LC" dataDxfId="80"/>
    <tableColumn id="3" xr3:uid="{00000000-0010-0000-0100-000003000000}" name="Day" dataDxfId="79"/>
    <tableColumn id="4" xr3:uid="{00000000-0010-0000-0100-000004000000}" name="PC" dataDxfId="78"/>
    <tableColumn id="5" xr3:uid="{00000000-0010-0000-0100-000005000000}" name="Day2" dataDxfId="77"/>
    <tableColumn id="6" xr3:uid="{00000000-0010-0000-0100-000006000000}" name="MON" dataDxfId="76"/>
    <tableColumn id="7" xr3:uid="{AB3C9E8B-FC30-414E-AC59-26EB4E620AB2}" name="DV" dataDxfId="7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9" displayName="Table9" ref="A8:B132" totalsRowShown="0" headerRowDxfId="74" headerRowBorderDxfId="73" tableBorderDxfId="72">
  <autoFilter ref="A8:B132" xr:uid="{00000000-0009-0000-0100-000009000000}"/>
  <tableColumns count="2">
    <tableColumn id="1" xr3:uid="{00000000-0010-0000-0300-000001000000}" name="TIME LIST" dataDxfId="71"/>
    <tableColumn id="2" xr3:uid="{00000000-0010-0000-0300-000002000000}" name="LUNCH" dataDxfId="7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7" displayName="Table7" ref="L8:O130" totalsRowShown="0" headerRowDxfId="69" headerRowBorderDxfId="68" tableBorderDxfId="67">
  <autoFilter ref="L8:O130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Year" dataDxfId="66"/>
    <tableColumn id="2" xr3:uid="{00000000-0010-0000-0200-000002000000}" name="Date" dataDxfId="65">
      <calculatedColumnFormula>IF('Jun-Jul'!$B$1=Worksheet!$K$2,ESD,IF('Jun-Jul'!$B$1=Worksheet!$K$3,PC,IF('Jun-Jul'!$B$1=Worksheet!$K$4,MON)))</calculatedColumnFormula>
    </tableColumn>
    <tableColumn id="3" xr3:uid="{00000000-0010-0000-0200-000003000000}" name="Holidays" dataDxfId="64"/>
    <tableColumn id="4" xr3:uid="{00000000-0010-0000-0200-000004000000}" name="When 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E8A4894-C18C-4A50-8686-683EA814D7B9}" name="SD" displayName="SD" ref="K1:M6" totalsRowShown="0" headerRowDxfId="62" headerRowBorderDxfId="61" tableBorderDxfId="60">
  <autoFilter ref="K1:M6" xr:uid="{EEC7864A-7533-42D1-BC16-5C2306883D65}"/>
  <tableColumns count="3">
    <tableColumn id="1" xr3:uid="{E60E3C8E-6700-438F-9A01-A432F95D8E29}" name="SD">
      <calculatedColumnFormula>CONCATENATE(I2," ",J2)</calculatedColumnFormula>
    </tableColumn>
    <tableColumn id="2" xr3:uid="{807F261B-AB46-4FAE-BB3B-9FD77EF1F33D}" name="Column1"/>
    <tableColumn id="3" xr3:uid="{065D132B-5691-42FC-9834-2B1366FCF017}" name="Column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681F263-DC04-4055-A3CC-145D3F445911}" name="Table54" displayName="Table54" ref="D3:H62" totalsRowShown="0" headerRowDxfId="59" dataDxfId="58" tableBorderDxfId="57">
  <autoFilter ref="D3:H62" xr:uid="{00000000-0009-0000-0100-000003000000}"/>
  <sortState ref="D4:H62">
    <sortCondition ref="F3:F62"/>
  </sortState>
  <tableColumns count="5">
    <tableColumn id="5" xr3:uid="{13C8514C-8594-4BFA-99B5-C8B535D0E994}" name="Count" dataDxfId="56">
      <calculatedColumnFormula>IF(Table54[[#This Row],[Name]]=Table54[[#This Row],[Name]],COUNTIF($E$4:E4,Table54[[#This Row],[Name]]),"")</calculatedColumnFormula>
    </tableColumn>
    <tableColumn id="1" xr3:uid="{00000000-0010-0000-0500-000001000000}" name="Name" dataDxfId="55">
      <calculatedColumnFormula>IF(Table54[[#This Row],[FN]]=0,"",CONCATENATE(Table54[[#This Row],[FN]]," ",Table54[[#This Row],[LN]]))</calculatedColumnFormula>
    </tableColumn>
    <tableColumn id="4" xr3:uid="{00000000-0010-0000-0500-000004000000}" name="FN" dataDxfId="54"/>
    <tableColumn id="2" xr3:uid="{00000000-0010-0000-0500-000002000000}" name="LN" dataDxfId="53"/>
    <tableColumn id="3" xr3:uid="{00000000-0010-0000-0500-000003000000}" name="Position" dataDxfId="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4FAC28-BD66-4CA7-9A2F-5F3FBE5F014A}" name="Table43" displayName="Table43" ref="J3:N62" totalsRowShown="0" headerRowDxfId="51" dataDxfId="50">
  <autoFilter ref="J3:N62" xr:uid="{00000000-0009-0000-0100-000002000000}"/>
  <tableColumns count="5">
    <tableColumn id="1" xr3:uid="{00000000-0010-0000-0400-000001000000}" name="EE Name" dataDxfId="49">
      <calculatedColumnFormula>IFERROR(INDEX(Table54[Name],_xlfn.AGGREGATE(15,6,(ROW(Table54[Name])-MIN(ROW(Table54[Name]))+1)/(Table54[Name]&lt;&gt;"")/(ISNA(MATCH(Table54[Name],$J$3:J3,0))),1)),"")</calculatedColumnFormula>
    </tableColumn>
    <tableColumn id="2" xr3:uid="{00000000-0010-0000-0400-000002000000}" name="Position1" dataDxfId="48">
      <calculatedColumnFormula>IF(COLUMN()-$J$1&lt;=COUNTIF($E$4:$E$62,$J4),INDEX($H$4:$H$62,MATCH($J4,$E$4:$E$62,0)+COLUMN()-$K$1),"")</calculatedColumnFormula>
    </tableColumn>
    <tableColumn id="3" xr3:uid="{00000000-0010-0000-0400-000003000000}" name="Position2" dataDxfId="47">
      <calculatedColumnFormula>IF(COLUMN()-$J$1&lt;=COUNTIF($E$4:$E$62,$J4),INDEX($H$4:$H$62,MATCH($J4,$E$4:$E$62,0)+COLUMN()-$K$1),"")</calculatedColumnFormula>
    </tableColumn>
    <tableColumn id="4" xr3:uid="{00000000-0010-0000-0400-000004000000}" name="Position3" dataDxfId="46">
      <calculatedColumnFormula>IF(COLUMN()-$J$1&lt;=COUNTIF($E$4:$E$62,$J4),INDEX($H$4:$H$62,MATCH($J4,$E$4:$E$62,0)+COLUMN()-$K$1),"")</calculatedColumnFormula>
    </tableColumn>
    <tableColumn id="5" xr3:uid="{00000000-0010-0000-0400-000005000000}" name="Position4" dataDxfId="45">
      <calculatedColumnFormula>IF(COLUMN()-$J$1&lt;=COUNTIF($E$4:$E$62,$J4),INDEX($H$4:$H$62,MATCH($J4,$E$4:$E$62,0)+COLUMN()-$K$1),"")</calculatedColumnFormula>
    </tableColumn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81E101-1FC5-422D-96E7-26DDC4DC4CF5}" name="MONEEInfo" displayName="MONEEInfo" ref="P3:S62" totalsRowShown="0" headerRowDxfId="44" dataDxfId="43" tableBorderDxfId="42">
  <autoFilter ref="P3:S62" xr:uid="{D534BA2D-5ADE-4527-833B-D2D3B8F719AB}"/>
  <sortState ref="P4:S62">
    <sortCondition ref="Q3:Q62"/>
  </sortState>
  <tableColumns count="4">
    <tableColumn id="1" xr3:uid="{EF20FA7B-52D3-478C-8CD0-E132A0F4198C}" name="Name" dataDxfId="41">
      <calculatedColumnFormula>IF(MONEEInfo[[#This Row],[FN]]=0,"",CONCATENATE(MONEEInfo[[#This Row],[FN]]," ",MONEEInfo[[#This Row],[LN]]))</calculatedColumnFormula>
    </tableColumn>
    <tableColumn id="4" xr3:uid="{B8A45C4B-8AEE-4305-8AB3-F9B1D98E2758}" name="FN" dataDxfId="40"/>
    <tableColumn id="2" xr3:uid="{198EDEBC-3742-49FB-9120-B80953BE343A}" name="LN" dataDxfId="39"/>
    <tableColumn id="3" xr3:uid="{7F430D60-D991-4140-8A3E-708A4FF8B4BC}" name="Position" dataDxfId="3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4897226-16AD-4B70-8503-885701B8B2DA}" name="Table4312" displayName="Table4312" ref="U3:Y62" totalsRowShown="0" headerRowDxfId="37" dataDxfId="36">
  <autoFilter ref="U3:Y62" xr:uid="{D5F77F37-ED97-4FC7-9333-7D29824EA54D}"/>
  <tableColumns count="5">
    <tableColumn id="1" xr3:uid="{1566B145-F4E6-4D52-83F4-6D1194D65830}" name="EE Name" dataDxfId="35">
      <calculatedColumnFormula>IFERROR(INDEX(MONEEInfo[Name],_xlfn.AGGREGATE(15,6,(ROW(MONEEInfo[Name])-MIN(ROW(MONEEInfo[Name]))+1)/(MONEEInfo[Name]&lt;&gt;"")/(ISNA(MATCH(MONEEInfo[Name],$U$3:U3,0))),1)),"")</calculatedColumnFormula>
    </tableColumn>
    <tableColumn id="2" xr3:uid="{220889FD-5EC2-4F0B-AF3D-123CCC032756}" name="Position1" dataDxfId="34">
      <calculatedColumnFormula>IF(COLUMN()-$U$1&lt;=COUNTIF($P$4:$P$62,$U4),INDEX($S$4:$S$62,MATCH($U4,$P$4:$P$62,0)+COLUMN()-$V$1),"")</calculatedColumnFormula>
    </tableColumn>
    <tableColumn id="3" xr3:uid="{AEEDFFBF-EA3D-40E3-A080-252F4068629D}" name="Position2" dataDxfId="33">
      <calculatedColumnFormula>IF(COLUMN()-$U$1&lt;=COUNTIF($P$4:$P$62,$U4),INDEX($S$4:$S$62,MATCH($U4,$P$4:$P$62,0)+COLUMN()-$V$1),"")</calculatedColumnFormula>
    </tableColumn>
    <tableColumn id="4" xr3:uid="{60CDB0B5-623E-49FC-A62F-BE8749426797}" name="Position3" dataDxfId="32">
      <calculatedColumnFormula>IF(COLUMN()-$U$1&lt;=COUNTIF($P$4:$P$62,$U4),INDEX($S$4:$S$62,MATCH($U4,$P$4:$P$62,0)+COLUMN()-$V$1),"")</calculatedColumnFormula>
    </tableColumn>
    <tableColumn id="5" xr3:uid="{13DC2918-1FDC-461D-B877-D01978779E10}" name="Position4" dataDxfId="31">
      <calculatedColumnFormula>IF(COLUMN()-$U$1&lt;=COUNTIF($P$4:$P$62,$U4),INDEX($S$4:$S$62,MATCH($U4,$P$4:$P$62,0)+COLUMN()-$V$1),"")</calculatedColumnFormula>
    </tableColumn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837D2CE-1579-4812-936E-15D387C3D9FA}" name="ESDEEInfo" displayName="ESDEEInfo" ref="AA3:AD62" totalsRowShown="0" headerRowDxfId="30" dataDxfId="29" tableBorderDxfId="28">
  <autoFilter ref="AA3:AD62" xr:uid="{88571F1D-B560-4BD9-86AB-1E1A979A87D2}"/>
  <sortState ref="AA4:AD62">
    <sortCondition ref="AB3:AB62"/>
  </sortState>
  <tableColumns count="4">
    <tableColumn id="1" xr3:uid="{90B8C5A4-5C5C-4C2F-A3A0-5E8C022DD298}" name="Name" dataDxfId="27">
      <calculatedColumnFormula>IF(ESDEEInfo[[#This Row],[FN]]=0,"",CONCATENATE(ESDEEInfo[[#This Row],[FN]]," ",ESDEEInfo[[#This Row],[LN]]))</calculatedColumnFormula>
    </tableColumn>
    <tableColumn id="4" xr3:uid="{95B1F47F-5418-4EA5-9610-449515FD618D}" name="FN" dataDxfId="26"/>
    <tableColumn id="2" xr3:uid="{D9BCA560-4CE8-4CCC-90E6-27B4DF85D74B}" name="LN" dataDxfId="25"/>
    <tableColumn id="3" xr3:uid="{85A55FEE-4499-4C8C-A10A-3626474C158A}" name="Position" dataDxfId="24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6A1A623-C191-42F3-8869-0BA345059EC3}" name="ESDPosition" displayName="ESDPosition" ref="AF3:AJ62" totalsRowShown="0" headerRowDxfId="23" dataDxfId="22">
  <autoFilter ref="AF3:AJ62" xr:uid="{1A9F9890-2903-4AEE-B40E-829CB080C7A5}"/>
  <tableColumns count="5">
    <tableColumn id="1" xr3:uid="{BF280E92-BA4C-4AEB-A5A9-019B56365CA1}" name="EE Name" dataDxfId="21">
      <calculatedColumnFormula>IFERROR(INDEX(ESDEEInfo[Name],_xlfn.AGGREGATE(15,6,(ROW(ESDEEInfo[Name])-MIN(ROW(ESDEEInfo[Name]))+1)/(ESDEEInfo[Name]&lt;&gt;"")/(ISNA(MATCH(ESDEEInfo[Name],$AF$3:AF3,0))),1)),"")</calculatedColumnFormula>
    </tableColumn>
    <tableColumn id="2" xr3:uid="{F7D5EFDE-4152-48FA-B105-A4A78CD6E209}" name="Position1" dataDxfId="20">
      <calculatedColumnFormula>IFERROR(IF(COLUMN()-$AF$1&lt;=COUNTIF($AA$4:$AA$62,$AF4),INDEX($AD$4:$AD$62,MATCH($AF4,$AA$4:$AA$62,0)+COLUMN()-$AG$1),""),"")</calculatedColumnFormula>
    </tableColumn>
    <tableColumn id="3" xr3:uid="{6B83979A-1400-4982-BFC0-7E9DEB150B3E}" name="Position2" dataDxfId="19">
      <calculatedColumnFormula>IFERROR(IF(COLUMN()-$AF$1&lt;=COUNTIF($AA$4:$AA$62,$AF4),INDEX($AD$4:$AD$62,MATCH($AF4,$AA$4:$AA$62,0)+COLUMN()-$AG$1),""),"")</calculatedColumnFormula>
    </tableColumn>
    <tableColumn id="4" xr3:uid="{85254D17-7A08-41EF-A12F-31BC424F49BA}" name="Position3" dataDxfId="18">
      <calculatedColumnFormula>IFERROR(IF(COLUMN()-$AF$1&lt;=COUNTIF($AA$4:$AA$62,$AF4),INDEX($AD$4:$AD$62,MATCH($AF4,$AA$4:$AA$62,0)+COLUMN()-$AG$1),""),"")</calculatedColumnFormula>
    </tableColumn>
    <tableColumn id="5" xr3:uid="{1D2F87CC-A78D-4CC1-A457-88DBFC97E30B}" name="Position4" dataDxfId="17">
      <calculatedColumnFormula>IFERROR(IF(COLUMN()-$AF$1&lt;=COUNTIF($AA$4:$AA$62,$AF4),INDEX($AD$4:$AD$62,MATCH($AF4,$AA$4:$AA$62,0)+COLUMN()-$AG$1),""),"")</calculatedColumnFormula>
    </tableColumn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42F32B4-C77C-4C05-B52E-636E88DA3A81}" name="DAYEEInfo" displayName="DAYEEInfo" ref="AL3:AO62" totalsRowShown="0" headerRowDxfId="16" dataDxfId="15" tableBorderDxfId="14">
  <autoFilter ref="AL3:AO62" xr:uid="{8F4961DE-1A42-4D08-A161-CBF903040D2E}"/>
  <sortState ref="AL4:AO62">
    <sortCondition ref="AM3:AM62"/>
  </sortState>
  <tableColumns count="4">
    <tableColumn id="1" xr3:uid="{2DB2B42A-54FF-46A0-B5A9-C431E2B90AA3}" name="Name" dataDxfId="13">
      <calculatedColumnFormula>IF(DAYEEInfo[[#This Row],[FN]]=0,"",CONCATENATE(DAYEEInfo[[#This Row],[FN]]," ",DAYEEInfo[[#This Row],[LN]]))</calculatedColumnFormula>
    </tableColumn>
    <tableColumn id="4" xr3:uid="{135C56ED-F953-45D8-A615-924AAECFB6AE}" name="FN" dataDxfId="12"/>
    <tableColumn id="2" xr3:uid="{70EEA94C-7AD2-4E8A-93C7-0A685B35DA78}" name="LN" dataDxfId="11"/>
    <tableColumn id="3" xr3:uid="{2CDEABB7-CDFD-422B-8AEB-3167F80B2696}" name="Position" dataDxfId="1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050A44-7C8A-4F35-BE58-189085FED3E7}" name="DAYPosition" displayName="DAYPosition" ref="AQ3:AX62" totalsRowShown="0" headerRowDxfId="9" dataDxfId="8">
  <autoFilter ref="AQ3:AX62" xr:uid="{7048A693-7937-47A5-B617-D0FD0ECE7EFA}"/>
  <tableColumns count="8">
    <tableColumn id="1" xr3:uid="{E8D7AEAF-9C6A-4393-8760-325480BBDA74}" name="EE Name" dataDxfId="7">
      <calculatedColumnFormula array="1">IFERROR(INDEX(DAYEEInfo[Name],_xlfn.AGGREGATE(15,6,(ROW(DAYEEInfo[Name])-MIN(ROW(DAYEEInfo[Name]))+1)/(DAYEEInfo[Name]&lt;&gt;"")/(ISNA(MATCH(DAYEEInfo[Name],$AQ$3:AQ3,0))),1)),"")</calculatedColumnFormula>
    </tableColumn>
    <tableColumn id="2" xr3:uid="{DB814F87-08AA-4AED-B7F0-9A399414DF14}" name="Position1" dataDxfId="6">
      <calculatedColumnFormula>IFERROR(IF(COLUMN()-$AQ$1&lt;=COUNTIF($AL$4:$AL$62,$AQ4),INDEX($AO$4:$AO$62,MATCH($AQ4,$AL$4:$AL$62,0)+COLUMN()-$AR$1),""),"")</calculatedColumnFormula>
    </tableColumn>
    <tableColumn id="3" xr3:uid="{144ECF5B-628A-4F6C-B4D9-0F1112AAC160}" name="Position2" dataDxfId="5">
      <calculatedColumnFormula>IFERROR(IF(COLUMN()-$AQ$1&lt;=COUNTIF($AL$4:$AL$62,$AQ4),INDEX($AO$4:$AO$62,MATCH($AQ4,$AL$4:$AL$62,0)+COLUMN()-$AR$1),""),"")</calculatedColumnFormula>
    </tableColumn>
    <tableColumn id="4" xr3:uid="{21E14459-F8D0-48DA-851E-673ECD0DAB33}" name="Position3" dataDxfId="4">
      <calculatedColumnFormula>IFERROR(IF(COLUMN()-$AQ$1&lt;=COUNTIF($AL$4:$AL$62,$AQ4),INDEX($AO$4:$AO$62,MATCH($AQ4,$AL$4:$AL$62,0)+COLUMN()-$AR$1),""),"")</calculatedColumnFormula>
    </tableColumn>
    <tableColumn id="5" xr3:uid="{A51437F3-5F88-4708-990B-E1EEAC1E0615}" name="Position4" dataDxfId="3">
      <calculatedColumnFormula>IFERROR(IF(COLUMN()-$AQ$1&lt;=COUNTIF($AL$4:$AL$62,$AQ4),INDEX($AO$4:$AO$62,MATCH($AQ4,$AL$4:$AL$62,0)+COLUMN()-$AR$1),""),"")</calculatedColumnFormula>
    </tableColumn>
    <tableColumn id="6" xr3:uid="{E5B07200-362F-4588-AA7E-DEC6B3B1410F}" name="Position5" dataDxfId="2">
      <calculatedColumnFormula>IFERROR(IF(COLUMN()-$AQ$1&lt;=COUNTIF($AL$4:$AL$62,$AQ4),INDEX($AO$4:$AO$62,MATCH($AQ4,$AL$4:$AL$62,0)+COLUMN()-$AR$1),""),"")</calculatedColumnFormula>
    </tableColumn>
    <tableColumn id="7" xr3:uid="{71C8A29E-B7DF-4F15-9873-96DFD273BA68}" name="Position6" dataDxfId="1">
      <calculatedColumnFormula>IFERROR(IF(COLUMN()-$AQ$1&lt;=COUNTIF($AL$4:$AL$62,$AQ4),INDEX($AO$4:$AO$62,MATCH($AQ4,$AL$4:$AL$62,0)+COLUMN()-$AR$1),""),"")</calculatedColumnFormula>
    </tableColumn>
    <tableColumn id="8" xr3:uid="{892C2B45-4190-421F-AE15-9782A7E4217D}" name="Position7" dataDxfId="0">
      <calculatedColumnFormula>IFERROR(IF(COLUMN()-$AQ$1&lt;=COUNTIF($AL$4:$AL$62,$AQ4),INDEX($AO$4:$AO$62,MATCH($AQ4,$AL$4:$AL$62,0)+COLUMN()-$AR$1),""),"")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596B9-B7CF-44DB-9723-A8B9927E9A09}">
  <sheetPr codeName="Sheet15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143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Dayville SD #16J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May 16 - June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45428</v>
      </c>
      <c r="C6" s="118">
        <f>C7-1</f>
        <v>45428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45429</v>
      </c>
      <c r="C7" s="118">
        <f t="shared" ref="C7:C35" si="0">C8-1</f>
        <v>45429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1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45430</v>
      </c>
      <c r="C8" s="118">
        <f t="shared" si="0"/>
        <v>45430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1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45431</v>
      </c>
      <c r="C9" s="118">
        <f t="shared" si="0"/>
        <v>45431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1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45432</v>
      </c>
      <c r="C10" s="118">
        <f t="shared" si="0"/>
        <v>45432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1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45433</v>
      </c>
      <c r="C11" s="118">
        <f t="shared" si="0"/>
        <v>45433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1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45434</v>
      </c>
      <c r="C12" s="118">
        <f t="shared" si="0"/>
        <v>45434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1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45435</v>
      </c>
      <c r="C13" s="118">
        <f t="shared" si="0"/>
        <v>45435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1"/>
        <v>0</v>
      </c>
      <c r="N13" s="122"/>
      <c r="O13" s="122"/>
    </row>
    <row r="14" spans="1:15" x14ac:dyDescent="0.2">
      <c r="B14" s="80">
        <f>IF(C14="","",IFERROR(INDEX(Table7[Holidays],MATCH(C14,Table7[Date],0)),C14))</f>
        <v>45436</v>
      </c>
      <c r="C14" s="118">
        <f t="shared" si="0"/>
        <v>45436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1"/>
        <v>0</v>
      </c>
      <c r="N14" s="122"/>
      <c r="O14" s="122"/>
    </row>
    <row r="15" spans="1:15" x14ac:dyDescent="0.2">
      <c r="B15" s="80">
        <f>IF(C15="","",IFERROR(INDEX(Table7[Holidays],MATCH(C15,Table7[Date],0)),C15))</f>
        <v>45437</v>
      </c>
      <c r="C15" s="118">
        <f t="shared" si="0"/>
        <v>45437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1"/>
        <v>0</v>
      </c>
      <c r="N15" s="122"/>
      <c r="O15" s="122"/>
    </row>
    <row r="16" spans="1:15" x14ac:dyDescent="0.2">
      <c r="A16" s="123"/>
      <c r="B16" s="80">
        <f>IF(C16="","",IFERROR(INDEX(Table7[Holidays],MATCH(C16,Table7[Date],0)),C16))</f>
        <v>45438</v>
      </c>
      <c r="C16" s="118">
        <f t="shared" si="0"/>
        <v>45438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1"/>
        <v>0</v>
      </c>
      <c r="N16" s="122"/>
      <c r="O16" s="125"/>
    </row>
    <row r="17" spans="1:15" x14ac:dyDescent="0.2">
      <c r="A17" s="126"/>
      <c r="B17" s="80" t="str">
        <f>IF(C17="","",IFERROR(INDEX(Table7[Holidays],MATCH(C17,Table7[Date],0)),C17))</f>
        <v>Memorial Day</v>
      </c>
      <c r="C17" s="118">
        <f t="shared" si="0"/>
        <v>45439</v>
      </c>
      <c r="D17" s="127"/>
      <c r="E17" s="127"/>
      <c r="F17" s="127"/>
      <c r="G17" s="127"/>
      <c r="H17" s="127"/>
      <c r="I17" s="127"/>
      <c r="J17" s="127"/>
      <c r="K17" s="127"/>
      <c r="L17" s="120">
        <f>IFERROR(IF(C17=INDEX(Worksheet!$M$9:$M$25,MATCH(C17,Worksheet!$M$9:$M$25,0)),SUM(D17:H17),""),"")</f>
        <v>0</v>
      </c>
      <c r="M17" s="121">
        <f t="shared" si="1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45440</v>
      </c>
      <c r="C18" s="118">
        <f t="shared" si="0"/>
        <v>45440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1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45441</v>
      </c>
      <c r="C19" s="118">
        <f t="shared" si="0"/>
        <v>45441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1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45442</v>
      </c>
      <c r="C20" s="118">
        <f t="shared" si="0"/>
        <v>45442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1"/>
        <v>0</v>
      </c>
      <c r="N20" s="122"/>
      <c r="O20" s="122"/>
    </row>
    <row r="21" spans="1:15" x14ac:dyDescent="0.2">
      <c r="B21" s="80">
        <f>IF(C21="","",IFERROR(INDEX(Table7[Holidays],MATCH(C21,Table7[Date],0)),C21))</f>
        <v>45443</v>
      </c>
      <c r="C21" s="118">
        <f t="shared" si="0"/>
        <v>45443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1"/>
        <v>0</v>
      </c>
      <c r="N21" s="122"/>
      <c r="O21" s="122"/>
    </row>
    <row r="22" spans="1:15" x14ac:dyDescent="0.2">
      <c r="B22" s="80">
        <f>IF(C22="","",IFERROR(INDEX(Table7[Holidays],MATCH(C22,Table7[Date],0)),C22))</f>
        <v>45444</v>
      </c>
      <c r="C22" s="118">
        <f t="shared" si="0"/>
        <v>45444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1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45445</v>
      </c>
      <c r="C23" s="118">
        <f t="shared" si="0"/>
        <v>45445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1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45446</v>
      </c>
      <c r="C24" s="118">
        <f t="shared" si="0"/>
        <v>45446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1"/>
        <v>0</v>
      </c>
      <c r="N24" s="122"/>
      <c r="O24" s="128"/>
    </row>
    <row r="25" spans="1:15" x14ac:dyDescent="0.2">
      <c r="A25" s="126"/>
      <c r="B25" s="80">
        <f>IF(C25="","",IFERROR(INDEX(Table7[Holidays],MATCH(C25,Table7[Date],0)),C25))</f>
        <v>45447</v>
      </c>
      <c r="C25" s="118">
        <f t="shared" si="0"/>
        <v>45447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1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45448</v>
      </c>
      <c r="C26" s="118">
        <f t="shared" si="0"/>
        <v>45448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1"/>
        <v>0</v>
      </c>
      <c r="N26" s="122"/>
      <c r="O26" s="122"/>
    </row>
    <row r="27" spans="1:15" x14ac:dyDescent="0.2">
      <c r="B27" s="80">
        <f>IF(C27="","",IFERROR(INDEX(Table7[Holidays],MATCH(C27,Table7[Date],0)),C27))</f>
        <v>45449</v>
      </c>
      <c r="C27" s="118">
        <f t="shared" si="0"/>
        <v>45449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1"/>
        <v>0</v>
      </c>
      <c r="N27" s="122"/>
      <c r="O27" s="122"/>
    </row>
    <row r="28" spans="1:15" x14ac:dyDescent="0.2">
      <c r="B28" s="80">
        <f>IF(C28="","",IFERROR(INDEX(Table7[Holidays],MATCH(C28,Table7[Date],0)),C28))</f>
        <v>45450</v>
      </c>
      <c r="C28" s="118">
        <f t="shared" si="0"/>
        <v>45450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1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45451</v>
      </c>
      <c r="C29" s="118">
        <f t="shared" si="0"/>
        <v>45451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1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45452</v>
      </c>
      <c r="C30" s="118">
        <f t="shared" si="0"/>
        <v>45452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1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45453</v>
      </c>
      <c r="C31" s="118">
        <f t="shared" si="0"/>
        <v>45453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1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45454</v>
      </c>
      <c r="C32" s="118">
        <f t="shared" si="0"/>
        <v>45454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1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45455</v>
      </c>
      <c r="C33" s="118">
        <f t="shared" si="0"/>
        <v>45455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1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45456</v>
      </c>
      <c r="C34" s="118">
        <f t="shared" si="0"/>
        <v>45456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1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45457</v>
      </c>
      <c r="C35" s="118">
        <f t="shared" si="0"/>
        <v>45457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1"/>
        <v>0</v>
      </c>
      <c r="N35" s="122"/>
      <c r="O35" s="122"/>
    </row>
    <row r="36" spans="1:15" x14ac:dyDescent="0.2">
      <c r="B36" s="80">
        <f>IF(C36="","",IFERROR(INDEX(Table7[Holidays],MATCH(C36,Table7[Date],0)),C36))</f>
        <v>45458</v>
      </c>
      <c r="C36" s="118">
        <f>'Jun-Jul'!C6-1</f>
        <v>45458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1"/>
        <v>0</v>
      </c>
      <c r="N36" s="122"/>
      <c r="O36" s="122"/>
    </row>
    <row r="37" spans="1:15" x14ac:dyDescent="0.2">
      <c r="B37" s="105" t="s">
        <v>7</v>
      </c>
      <c r="C37" s="105"/>
      <c r="D37" s="131">
        <f t="shared" ref="D37:G37" si="2">SUM(D6:D36)</f>
        <v>0</v>
      </c>
      <c r="E37" s="131">
        <f t="shared" si="2"/>
        <v>0</v>
      </c>
      <c r="F37" s="131">
        <f t="shared" si="2"/>
        <v>0</v>
      </c>
      <c r="G37" s="131">
        <f t="shared" si="2"/>
        <v>0</v>
      </c>
      <c r="H37" s="131">
        <f t="shared" ref="H37:L37" si="3">SUM(H6:H36)</f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 t="str">
        <f t="shared" ref="N37:O37" si="4">IF(MROUND(SUM(N6:N36),".25")=0,"",MROUND(SUM(N6:N36),".25"))</f>
        <v/>
      </c>
      <c r="O37" s="131" t="str">
        <f t="shared" si="4"/>
        <v/>
      </c>
    </row>
    <row r="38" spans="1:15" s="117" customFormat="1" x14ac:dyDescent="0.2">
      <c r="A38" s="116"/>
      <c r="B38" s="81"/>
      <c r="C38" s="132"/>
      <c r="D38" s="133"/>
      <c r="E38" s="133"/>
      <c r="F38" s="134"/>
      <c r="G38" s="134"/>
      <c r="H38" s="135"/>
      <c r="I38" s="135"/>
      <c r="J38" s="135"/>
      <c r="K38" s="135"/>
      <c r="L38" s="135" t="s">
        <v>8</v>
      </c>
      <c r="M38" s="135">
        <f>IF(SUM(E37:H37)&lt;&gt;M37,SUM($E$37:$L$37),SUM(E37:H37))</f>
        <v>0</v>
      </c>
      <c r="N38" s="133"/>
      <c r="O38" s="133"/>
    </row>
    <row r="39" spans="1:15" hidden="1" x14ac:dyDescent="0.2">
      <c r="B39" s="81"/>
      <c r="C39" s="132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36"/>
      <c r="O39" s="136"/>
    </row>
    <row r="40" spans="1:15" hidden="1" x14ac:dyDescent="0.2">
      <c r="B40" s="81"/>
      <c r="C40" s="132"/>
      <c r="D40" s="136"/>
      <c r="E40" s="136"/>
      <c r="F40" s="137"/>
      <c r="G40" s="137"/>
      <c r="H40" s="138"/>
      <c r="I40" s="140"/>
      <c r="J40" s="140"/>
      <c r="K40" s="140"/>
      <c r="L40" s="140"/>
      <c r="M40" s="137"/>
      <c r="N40" s="89"/>
      <c r="O40" s="139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89"/>
      <c r="N41" s="57"/>
      <c r="O41" s="57"/>
    </row>
    <row r="42" spans="1:15" x14ac:dyDescent="0.2">
      <c r="B42" s="83"/>
      <c r="C42" s="141"/>
      <c r="D42" s="136"/>
      <c r="E42" s="136"/>
      <c r="F42" s="137"/>
      <c r="G42" s="137"/>
      <c r="H42" s="140"/>
      <c r="I42" s="142"/>
      <c r="J42" s="140"/>
      <c r="K42" s="140"/>
      <c r="L42" s="140"/>
      <c r="M42" s="89"/>
      <c r="N42" s="57"/>
      <c r="O42" s="57"/>
    </row>
    <row r="43" spans="1:15" hidden="1" x14ac:dyDescent="0.2">
      <c r="B43" s="83"/>
      <c r="C43" s="141"/>
      <c r="D43" s="136"/>
      <c r="E43" s="136"/>
      <c r="F43" s="137"/>
      <c r="G43" s="137"/>
      <c r="H43" s="140"/>
      <c r="I43" s="142"/>
      <c r="J43" s="140"/>
      <c r="K43" s="140"/>
      <c r="L43" s="140"/>
      <c r="M43" s="89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89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89"/>
      <c r="N45" s="57"/>
      <c r="O45" s="57"/>
    </row>
    <row r="46" spans="1:15" hidden="1" x14ac:dyDescent="0.2">
      <c r="B46" s="81"/>
      <c r="C46" s="132"/>
      <c r="D46" s="136"/>
      <c r="E46" s="136"/>
      <c r="F46" s="137"/>
      <c r="G46" s="137"/>
      <c r="H46" s="140"/>
      <c r="I46" s="140"/>
      <c r="J46" s="140"/>
      <c r="K46" s="140"/>
      <c r="L46" s="140"/>
      <c r="M46" s="89"/>
      <c r="N46" s="57"/>
      <c r="O46" s="57"/>
    </row>
    <row r="47" spans="1:15" hidden="1" x14ac:dyDescent="0.2">
      <c r="B47" s="86"/>
      <c r="C47" s="145"/>
      <c r="D47" s="89"/>
      <c r="E47" s="89"/>
      <c r="F47" s="89"/>
      <c r="G47" s="89"/>
      <c r="H47" s="140"/>
      <c r="I47" s="142"/>
      <c r="J47" s="140"/>
      <c r="K47" s="140"/>
      <c r="L47" s="140"/>
      <c r="M47" s="89"/>
      <c r="N47" s="57"/>
      <c r="O47" s="57"/>
    </row>
    <row r="48" spans="1:15" s="117" customFormat="1" hidden="1" x14ac:dyDescent="0.2">
      <c r="A48" s="116"/>
      <c r="B48" s="87"/>
      <c r="C48" s="146"/>
      <c r="D48" s="88"/>
      <c r="E48" s="88"/>
      <c r="F48" s="88"/>
      <c r="G48" s="88"/>
      <c r="H48" s="95"/>
      <c r="I48" s="95"/>
      <c r="J48" s="95"/>
      <c r="K48" s="95"/>
      <c r="L48" s="147"/>
      <c r="M48" s="88"/>
    </row>
    <row r="49" spans="1:15" s="88" customFormat="1" ht="60" x14ac:dyDescent="0.2">
      <c r="A49" s="91"/>
      <c r="B49" s="87"/>
      <c r="C49" s="92">
        <f t="shared" ref="C49:G49" si="5">C5</f>
        <v>0</v>
      </c>
      <c r="D49" s="92" t="str">
        <f t="shared" si="5"/>
        <v>ENTER POSITION IN THIS CELL</v>
      </c>
      <c r="E49" s="92" t="str">
        <f t="shared" si="5"/>
        <v>ENTER POSITION IN THIS CELL</v>
      </c>
      <c r="F49" s="92" t="str">
        <f t="shared" si="5"/>
        <v>ENTER POSITION IN THIS CELL</v>
      </c>
      <c r="G49" s="92">
        <f t="shared" si="5"/>
        <v>0</v>
      </c>
      <c r="H49" s="92">
        <f t="shared" ref="H49" si="6">H5</f>
        <v>0</v>
      </c>
      <c r="I49" s="93" t="s">
        <v>10</v>
      </c>
      <c r="J49" s="93" t="s">
        <v>11</v>
      </c>
      <c r="K49" s="93" t="s">
        <v>5</v>
      </c>
      <c r="L49" s="94" t="s">
        <v>6</v>
      </c>
      <c r="M49" s="95"/>
      <c r="N49" s="87" t="s">
        <v>9</v>
      </c>
    </row>
    <row r="50" spans="1:15" s="88" customFormat="1" ht="45" x14ac:dyDescent="0.2">
      <c r="A50" s="91"/>
      <c r="B50" s="87" t="s">
        <v>12</v>
      </c>
      <c r="C50" s="146"/>
      <c r="H50" s="95"/>
      <c r="I50" s="93"/>
      <c r="J50" s="93"/>
      <c r="K50" s="93"/>
      <c r="L50" s="94"/>
      <c r="M50" s="95">
        <f>'Apr-May'!M55</f>
        <v>0</v>
      </c>
      <c r="N50" s="87"/>
    </row>
    <row r="51" spans="1:15" s="88" customFormat="1" x14ac:dyDescent="0.2">
      <c r="A51" s="91"/>
      <c r="B51" s="87" t="s">
        <v>13</v>
      </c>
      <c r="C51" s="146"/>
      <c r="D51" s="95">
        <f>SUMIF($C$6:$C$36,"&lt;="&amp;$C$6+(7-WEEKDAY($C$6))+(RIGHT($B51,1)*7)-7,D$6:D$36)-SUM(D$50:D50)</f>
        <v>0</v>
      </c>
      <c r="E51" s="95">
        <f>SUMIF($C$6:$C$36,"&lt;="&amp;$C$6+(7-WEEKDAY($C$6))+(RIGHT($B51,1)*7)-7,E$6:E$36)-SUM(E$50:E50)</f>
        <v>0</v>
      </c>
      <c r="F51" s="95">
        <f>SUMIF($C$6:$C$36,"&lt;="&amp;$C$6+(7-WEEKDAY($C$6))+(RIGHT($B51,1)*7)-7,F$6:F$36)-SUM(F$50:F50)</f>
        <v>0</v>
      </c>
      <c r="G51" s="95">
        <f>SUMIF($C$6:$C$36,"&lt;="&amp;$C$6+(7-WEEKDAY($C$6))+(RIGHT($B51,1)*7)-7,G$6:G$36)-SUM(G$50:G50)</f>
        <v>0</v>
      </c>
      <c r="H51" s="95">
        <f>SUMIF($C$6:$C$36,"&lt;="&amp;$C$6+(7-WEEKDAY($C$6))+(RIGHT($B51,1)*7)-7,H$6:H$36)-SUM(H$50:H50)</f>
        <v>0</v>
      </c>
      <c r="I51" s="95">
        <f>SUMIF($C$6:$C$36,"&lt;="&amp;$C$6+(7-WEEKDAY($C$6))+(RIGHT(B51,1)*7)-7,$I$6:$I$36)-SUM(I$50:I50)</f>
        <v>0</v>
      </c>
      <c r="J51" s="95">
        <f>SUMIF($C$6:$C$36,"&lt;="&amp;$C$6+(7-WEEKDAY($C$6))+(RIGHT(B51,1)*7)-7,$J$6:$J$36)-SUM(J$50:J50)</f>
        <v>0</v>
      </c>
      <c r="K51" s="95">
        <f>SUMIF($C$6:$C$36,"&lt;="&amp;$C$6+(7-WEEKDAY($C$6))+(RIGHT(B51,1)*7)-7,$K$6:$K$36)-SUM(K$50:K50)</f>
        <v>0</v>
      </c>
      <c r="L51" s="147">
        <f>SUMIF($C$6:$C$36,"&lt;="&amp;$C$6+(7-WEEKDAY($C$6))+(RIGHT(B51,1)*7)-7,$L$6:$L$36)-SUM(L$49:L50)</f>
        <v>0</v>
      </c>
      <c r="M51" s="95">
        <f>SUM(D51:H51)</f>
        <v>0</v>
      </c>
      <c r="N51" s="95">
        <f>(M51+M50)-I51-J51-K51-L51-40</f>
        <v>-40</v>
      </c>
    </row>
    <row r="52" spans="1:15" s="88" customFormat="1" x14ac:dyDescent="0.2">
      <c r="A52" s="91"/>
      <c r="B52" s="87" t="s">
        <v>14</v>
      </c>
      <c r="C52" s="146"/>
      <c r="D52" s="95">
        <f>SUMIF($C$6:$C$36,"&lt;="&amp;$C$6+(7-WEEKDAY($C$6))+(RIGHT($B52,1)*7)-7,D$6:D$36)-SUM(D$50:D51)</f>
        <v>0</v>
      </c>
      <c r="E52" s="95">
        <f>SUMIF($C$6:$C$36,"&lt;="&amp;$C$6+(7-WEEKDAY($C$6))+(RIGHT($B52,1)*7)-7,E$6:E$36)-SUM(E$50:E51)</f>
        <v>0</v>
      </c>
      <c r="F52" s="95">
        <f>SUMIF($C$6:$C$36,"&lt;="&amp;$C$6+(7-WEEKDAY($C$6))+(RIGHT($B52,1)*7)-7,F$6:F$36)-SUM(F$50:F51)</f>
        <v>0</v>
      </c>
      <c r="G52" s="95">
        <f>SUMIF($C$6:$C$36,"&lt;="&amp;$C$6+(7-WEEKDAY($C$6))+(RIGHT($B52,1)*7)-7,G$6:G$36)-SUM(G$50:G51)</f>
        <v>0</v>
      </c>
      <c r="H52" s="95">
        <f>SUMIF($C$6:$C$36,"&lt;="&amp;$C$6+(7-WEEKDAY($C$6))+(RIGHT($B52,1)*7)-7,H$6:H$36)-SUM(H$50:H51)</f>
        <v>0</v>
      </c>
      <c r="I52" s="95">
        <f>SUMIF($C$6:$C$36,"&lt;="&amp;$C$6+(7-WEEKDAY($C$6))+(RIGHT(B52,1)*7)-7,$I$6:$I$36)-SUM(I$50:I51)</f>
        <v>0</v>
      </c>
      <c r="J52" s="95">
        <f>SUMIF($C$6:$C$36,"&lt;="&amp;$C$6+(7-WEEKDAY($C$6))+(RIGHT(B52,1)*7)-7,$J$6:$J$36)-SUM(J$50:J51)</f>
        <v>0</v>
      </c>
      <c r="K52" s="95">
        <f>SUMIF($C$6:$C$36,"&lt;="&amp;$C$6+(7-WEEKDAY($C$6))+(RIGHT(B52,1)*7)-7,$K$6:$K$36)-SUM(K$50:K51)</f>
        <v>0</v>
      </c>
      <c r="L52" s="147">
        <f>SUMIF($C$6:$C$36,"&lt;="&amp;$C$6+(7-WEEKDAY($C$6))+(RIGHT(B52,1)*7)-7,$L$6:$L$36)-SUM(L$49:L51)</f>
        <v>0</v>
      </c>
      <c r="M52" s="95">
        <f>SUM(D52:H52)</f>
        <v>0</v>
      </c>
      <c r="N52" s="95">
        <f>M52-I52-J52-K52-L52-40</f>
        <v>-40</v>
      </c>
    </row>
    <row r="53" spans="1:15" s="88" customFormat="1" x14ac:dyDescent="0.2">
      <c r="A53" s="91"/>
      <c r="B53" s="87" t="s">
        <v>15</v>
      </c>
      <c r="C53" s="146"/>
      <c r="D53" s="95">
        <f>SUMIF($C$6:$C$36,"&lt;="&amp;$C$6+(7-WEEKDAY($C$6))+(RIGHT($B53,1)*7)-7,D$6:D$36)-SUM(D$50:D52)</f>
        <v>0</v>
      </c>
      <c r="E53" s="95">
        <f>SUMIF($C$6:$C$36,"&lt;="&amp;$C$6+(7-WEEKDAY($C$6))+(RIGHT($B53,1)*7)-7,E$6:E$36)-SUM(E$50:E52)</f>
        <v>0</v>
      </c>
      <c r="F53" s="95">
        <f>SUMIF($C$6:$C$36,"&lt;="&amp;$C$6+(7-WEEKDAY($C$6))+(RIGHT($B53,1)*7)-7,F$6:F$36)-SUM(F$50:F52)</f>
        <v>0</v>
      </c>
      <c r="G53" s="95">
        <f>SUMIF($C$6:$C$36,"&lt;="&amp;$C$6+(7-WEEKDAY($C$6))+(RIGHT($B53,1)*7)-7,G$6:G$36)-SUM(G$50:G52)</f>
        <v>0</v>
      </c>
      <c r="H53" s="95">
        <f>SUMIF($C$6:$C$36,"&lt;="&amp;$C$6+(7-WEEKDAY($C$6))+(RIGHT($B53,1)*7)-7,H$6:H$36)-SUM(H$50:H52)</f>
        <v>0</v>
      </c>
      <c r="I53" s="95">
        <f>SUMIF($C$6:$C$36,"&lt;="&amp;$C$6+(7-WEEKDAY($C$6))+(RIGHT(B53,1)*7)-7,$I$6:$I$36)-SUM(I$50:I52)</f>
        <v>0</v>
      </c>
      <c r="J53" s="95">
        <f>SUMIF($C$6:$C$36,"&lt;="&amp;$C$6+(7-WEEKDAY($C$6))+(RIGHT(B53,1)*7)-7,$J$6:$J$36)-SUM(J$50:J52)</f>
        <v>0</v>
      </c>
      <c r="K53" s="95">
        <f>SUMIF($C$6:$C$36,"&lt;="&amp;$C$6+(7-WEEKDAY($C$6))+(RIGHT(B53,1)*7)-7,$K$6:$K$36)-SUM(K$50:K52)</f>
        <v>0</v>
      </c>
      <c r="L53" s="147">
        <f>SUMIF($C$6:$C$36,"&lt;="&amp;$C$6+(7-WEEKDAY($C$6))+(RIGHT(B53,1)*7)-7,$L$6:$L$36)-SUM(L$49:L52)</f>
        <v>0</v>
      </c>
      <c r="M53" s="95">
        <f>SUM(D53:H53)</f>
        <v>0</v>
      </c>
      <c r="N53" s="95">
        <f>M53-I53-J53-K53-L53-40</f>
        <v>-40</v>
      </c>
    </row>
    <row r="54" spans="1:15" s="88" customFormat="1" x14ac:dyDescent="0.2">
      <c r="A54" s="91"/>
      <c r="B54" s="87" t="s">
        <v>16</v>
      </c>
      <c r="C54" s="146"/>
      <c r="D54" s="95">
        <f>SUMIF($C$6:$C$36,"&lt;="&amp;$C$6+(7-WEEKDAY($C$6))+(RIGHT($B54,1)*7)-7,D$6:D$36)-SUM(D$50:D53)</f>
        <v>0</v>
      </c>
      <c r="E54" s="95">
        <f>SUMIF($C$6:$C$36,"&lt;="&amp;$C$6+(7-WEEKDAY($C$6))+(RIGHT($B54,1)*7)-7,E$6:E$36)-SUM(E$50:E53)</f>
        <v>0</v>
      </c>
      <c r="F54" s="95">
        <f>SUMIF($C$6:$C$36,"&lt;="&amp;$C$6+(7-WEEKDAY($C$6))+(RIGHT($B54,1)*7)-7,F$6:F$36)-SUM(F$50:F53)</f>
        <v>0</v>
      </c>
      <c r="G54" s="95">
        <f>SUMIF($C$6:$C$36,"&lt;="&amp;$C$6+(7-WEEKDAY($C$6))+(RIGHT($B54,1)*7)-7,G$6:G$36)-SUM(G$50:G53)</f>
        <v>0</v>
      </c>
      <c r="H54" s="95">
        <f>SUMIF($C$6:$C$36,"&lt;="&amp;$C$6+(7-WEEKDAY($C$6))+(RIGHT($B54,1)*7)-7,H$6:H$36)-SUM(H$50:H53)</f>
        <v>0</v>
      </c>
      <c r="I54" s="95">
        <f>SUMIF($C$6:$C$36,"&lt;="&amp;$C$6+(7-WEEKDAY($C$6))+(RIGHT(B54,1)*7)-7,$I$6:$I$36)-SUM(I$50:I53)</f>
        <v>0</v>
      </c>
      <c r="J54" s="95">
        <f>SUMIF($C$6:$C$36,"&lt;="&amp;$C$6+(7-WEEKDAY($C$6))+(RIGHT(B54,1)*7)-7,$J$6:$J$36)-SUM(J$50:J53)</f>
        <v>0</v>
      </c>
      <c r="K54" s="95">
        <f>SUMIF($C$6:$C$36,"&lt;="&amp;$C$6+(7-WEEKDAY($C$6))+(RIGHT(B54,1)*7)-7,$K$6:$K$36)-SUM(K$50:K53)</f>
        <v>0</v>
      </c>
      <c r="L54" s="147">
        <f>SUMIF($C$6:$C$36,"&lt;="&amp;$C$6+(7-WEEKDAY($C$6))+(RIGHT(B54,1)*7)-7,$L$6:$L$36)-SUM(L$49:L53)</f>
        <v>0</v>
      </c>
      <c r="M54" s="95">
        <f>SUM(D54:H54)</f>
        <v>0</v>
      </c>
      <c r="N54" s="95">
        <f>M54-I54-J54-K54-L54-40</f>
        <v>-40</v>
      </c>
    </row>
    <row r="55" spans="1:15" s="88" customFormat="1" x14ac:dyDescent="0.2">
      <c r="A55" s="91"/>
      <c r="B55" s="87" t="s">
        <v>17</v>
      </c>
      <c r="C55" s="146"/>
      <c r="D55" s="95">
        <f>SUMIF($C$6:$C$36,"&lt;="&amp;$C$6+(7-WEEKDAY($C$6))+(RIGHT($B55,1)*7)-7,D$6:D$36)-SUM(D$50:D54)</f>
        <v>0</v>
      </c>
      <c r="E55" s="95">
        <f>SUMIF($C$6:$C$36,"&lt;="&amp;$C$6+(7-WEEKDAY($C$6))+(RIGHT($B55,1)*7)-7,E$6:E$36)-SUM(E$50:E54)</f>
        <v>0</v>
      </c>
      <c r="F55" s="95">
        <f>SUMIF($C$6:$C$36,"&lt;="&amp;$C$6+(7-WEEKDAY($C$6))+(RIGHT($B55,1)*7)-7,F$6:F$36)-SUM(F$50:F54)</f>
        <v>0</v>
      </c>
      <c r="G55" s="95">
        <f>SUMIF($C$6:$C$36,"&lt;="&amp;$C$6+(7-WEEKDAY($C$6))+(RIGHT($B55,1)*7)-7,G$6:G$36)-SUM(G$50:G54)</f>
        <v>0</v>
      </c>
      <c r="H55" s="95">
        <f>SUMIF($C$6:$C$36,"&lt;="&amp;$C$6+(7-WEEKDAY($C$6))+(RIGHT($B55,1)*7)-7,H$6:H$36)-SUM(H$50:H54)</f>
        <v>0</v>
      </c>
      <c r="I55" s="95">
        <f>SUMIF($C$6:$C$36,"&lt;="&amp;$C$6+(7-WEEKDAY($C$6))+(RIGHT(B55,1)*7)-7,$I$6:$I$36)-SUM(I$50:I54)</f>
        <v>0</v>
      </c>
      <c r="J55" s="95">
        <f>SUMIF($C$6:$C$36,"&lt;="&amp;$C$6+(7-WEEKDAY($C$6))+(RIGHT(B55,1)*7)-7,$J$6:$J$36)-SUM(J$50:J54)</f>
        <v>0</v>
      </c>
      <c r="K55" s="95">
        <f>SUMIF($C$6:$C$36,"&lt;="&amp;$C$6+(7-WEEKDAY($C$6))+(RIGHT(B55,1)*7)-7,$K$6:$K$36)-SUM(K$50:K54)</f>
        <v>0</v>
      </c>
      <c r="L55" s="147">
        <f>SUMIF($C$6:$C$36,"&lt;="&amp;$C$6+(7-WEEKDAY($C$6))+(RIGHT(B55,1)*7)-7,$L$6:$L$36)-SUM(L$49:L54)</f>
        <v>0</v>
      </c>
      <c r="M55" s="95">
        <f>SUM(D55:H55)</f>
        <v>0</v>
      </c>
      <c r="N55" s="95">
        <f>M55-I55-J55-K55-L55-40</f>
        <v>-40</v>
      </c>
    </row>
    <row r="56" spans="1:15" s="88" customFormat="1" x14ac:dyDescent="0.2">
      <c r="A56" s="91"/>
      <c r="B56" s="87"/>
      <c r="C56" s="146"/>
      <c r="D56" s="95"/>
      <c r="E56" s="95"/>
      <c r="F56" s="95"/>
      <c r="G56" s="95"/>
      <c r="H56" s="95"/>
      <c r="I56" s="95"/>
      <c r="J56" s="95"/>
      <c r="K56" s="95"/>
      <c r="L56" s="147"/>
      <c r="M56" s="95"/>
    </row>
    <row r="57" spans="1:15" s="88" customFormat="1" x14ac:dyDescent="0.2">
      <c r="A57" s="91"/>
      <c r="B57" s="87" t="s">
        <v>18</v>
      </c>
      <c r="C57" s="146"/>
      <c r="D57" s="95">
        <f t="shared" ref="D57" si="7">SUM(D51:D55)</f>
        <v>0</v>
      </c>
      <c r="E57" s="95">
        <f t="shared" ref="E57:L57" si="8">SUM(E51:E55)</f>
        <v>0</v>
      </c>
      <c r="F57" s="95">
        <f t="shared" si="8"/>
        <v>0</v>
      </c>
      <c r="G57" s="95">
        <f t="shared" si="8"/>
        <v>0</v>
      </c>
      <c r="H57" s="95">
        <f t="shared" si="8"/>
        <v>0</v>
      </c>
      <c r="I57" s="95">
        <f t="shared" si="8"/>
        <v>0</v>
      </c>
      <c r="J57" s="95">
        <f t="shared" si="8"/>
        <v>0</v>
      </c>
      <c r="K57" s="95">
        <f t="shared" si="8"/>
        <v>0</v>
      </c>
      <c r="L57" s="147">
        <f t="shared" si="8"/>
        <v>0</v>
      </c>
      <c r="M57" s="95">
        <f>SUM(M51:M55)</f>
        <v>0</v>
      </c>
      <c r="N57" s="88">
        <f>SUMIF(N51:N55,"&gt;0")</f>
        <v>0</v>
      </c>
    </row>
    <row r="58" spans="1:15" s="88" customFormat="1" x14ac:dyDescent="0.2">
      <c r="A58" s="91"/>
      <c r="B58" s="87"/>
      <c r="C58" s="146"/>
      <c r="D58" s="95"/>
      <c r="E58" s="95"/>
      <c r="F58" s="95"/>
      <c r="G58" s="95"/>
      <c r="H58" s="95"/>
      <c r="I58" s="95"/>
      <c r="J58" s="95"/>
      <c r="K58" s="95"/>
      <c r="L58" s="147"/>
      <c r="M58" s="95"/>
    </row>
    <row r="59" spans="1:15" s="88" customFormat="1" x14ac:dyDescent="0.2">
      <c r="A59" s="91"/>
      <c r="B59" s="87" t="s">
        <v>8</v>
      </c>
      <c r="C59" s="146"/>
      <c r="D59" s="95">
        <f>D37</f>
        <v>0</v>
      </c>
      <c r="E59" s="95">
        <f t="shared" ref="E59:L59" si="9">E57-E37</f>
        <v>0</v>
      </c>
      <c r="F59" s="95">
        <f t="shared" si="9"/>
        <v>0</v>
      </c>
      <c r="G59" s="95">
        <f t="shared" si="9"/>
        <v>0</v>
      </c>
      <c r="H59" s="95">
        <f t="shared" si="9"/>
        <v>0</v>
      </c>
      <c r="I59" s="95">
        <f t="shared" si="9"/>
        <v>0</v>
      </c>
      <c r="J59" s="95">
        <f t="shared" si="9"/>
        <v>0</v>
      </c>
      <c r="K59" s="95">
        <f t="shared" si="9"/>
        <v>0</v>
      </c>
      <c r="L59" s="95">
        <f t="shared" si="9"/>
        <v>0</v>
      </c>
      <c r="M59" s="95">
        <f>M57-M37</f>
        <v>0</v>
      </c>
    </row>
    <row r="60" spans="1:15" s="88" customFormat="1" x14ac:dyDescent="0.2">
      <c r="A60" s="91"/>
      <c r="C60" s="148"/>
      <c r="H60" s="95"/>
      <c r="I60" s="95"/>
      <c r="J60" s="95"/>
      <c r="K60" s="95"/>
      <c r="L60" s="147"/>
      <c r="M60" s="95"/>
    </row>
    <row r="61" spans="1:15" s="88" customFormat="1" x14ac:dyDescent="0.2">
      <c r="A61" s="91"/>
      <c r="C61" s="148"/>
      <c r="H61" s="95"/>
      <c r="I61" s="95"/>
      <c r="J61" s="95"/>
      <c r="K61" s="95"/>
      <c r="L61" s="95"/>
      <c r="M61" s="95"/>
      <c r="O61" s="147"/>
    </row>
    <row r="62" spans="1:15" s="85" customFormat="1" x14ac:dyDescent="0.2">
      <c r="A62" s="96"/>
      <c r="C62" s="149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C63" s="149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C64" s="149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143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143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540" priority="127" operator="between">
      <formula>0</formula>
      <formula>0</formula>
    </cfRule>
  </conditionalFormatting>
  <conditionalFormatting sqref="M6:M36">
    <cfRule type="cellIs" dxfId="539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0A3BE01-1A74-4F41-AEC6-A209A963987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02355BF5-8FB7-4045-8331-F9E6FCB4943A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4E5EDC89-8BDD-4F08-8C39-5441F0DAB670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2F39A22-AB63-44AC-9228-B57124497162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630C61A-81F8-4347-98E4-A190015C674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ECA92F61-0426-4E0C-9D17-E735819EC81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298E51C-39C1-4AD8-90E6-D2A3D1AA6325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B0B60BF0-4E5B-413F-AE21-E65E4F9E6C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21978410-74E2-419D-AEA8-55EA69B438F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3390711-D25F-49F8-A20E-A4234C9DB6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214BABD2-25F4-4B4D-B813-85007849B27C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77026245-82E7-4BB9-A720-53F63BDBEC9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E19F4268-A848-4A45-96E6-8F4025B5668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2953C7D-C9C8-47C2-BFBA-8C91E19F57EA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E8BF491-6B38-4160-A9DD-6391809183CF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709E8EB-6323-41D3-9C6F-009F2EA9DF65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32B7F64-4606-46D7-B688-92208A457FC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9C20F57C-46FE-4672-B394-00A45DC662E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8136B70F-5525-419D-87F1-C8424E0105F7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700009F-2675-4A20-B537-A55ED92D614D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D5A806AA-3B4D-4227-9687-F34DE583EF34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376203F-D616-4947-83AF-F9ADFA113F1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5BD6D754-F61D-49A4-A0C6-A03D286BF97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601A370B-CC65-43E2-A46A-453AD454D85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C161B7E3-8003-41B7-A0AA-E99499DB95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C891087-F152-4500-ABCF-B5E94F998C0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F330883-C8F9-492D-9B0F-F84D7A13DA3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1F5F7E5-5A84-450F-AA3D-2417B9B539F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4"/>
  <sheetViews>
    <sheetView tabSelected="1" workbookViewId="0">
      <selection activeCell="B1" sqref="B1:O1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2" width="11.5703125" style="144" customWidth="1"/>
    <col min="13" max="13" width="9.7109375" style="144" customWidth="1"/>
    <col min="14" max="14" width="32.85546875" style="57" customWidth="1"/>
    <col min="15" max="15" width="32.85546875" style="153" customWidth="1"/>
    <col min="16" max="16384" width="9.140625" style="57"/>
  </cols>
  <sheetData>
    <row r="1" spans="1:15" s="117" customFormat="1" ht="18" x14ac:dyDescent="0.25">
      <c r="A1" s="116"/>
      <c r="B1" s="265" t="s">
        <v>131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"&amp;TEXT(C35,"mmmm d")&amp;", "&amp;Worksheet!B1</f>
        <v>June 16 - July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">
        <v>2</v>
      </c>
      <c r="N5" s="55" t="s">
        <v>3</v>
      </c>
      <c r="O5" s="55" t="s">
        <v>4</v>
      </c>
    </row>
    <row r="6" spans="1:15" x14ac:dyDescent="0.2">
      <c r="B6" s="80">
        <f>IF(C6="","",IFERROR(INDEX(Table7[Holidays],MATCH(C6,Table7[Date],0)),C6))</f>
        <v>45459</v>
      </c>
      <c r="C6" s="118">
        <f>IF(B1=Worksheet!K3,Worksheet!G3,IF(B1=Worksheet!K4,Worksheet!G4,IF(B1=Worksheet!K5,Worksheet!G5,IF(B1=Worksheet!K6,Worksheet!E6,Worksheet!E2))))</f>
        <v>45459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45460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45461</v>
      </c>
      <c r="C8" s="118">
        <f t="shared" ref="C8:C35" si="1">C7+1</f>
        <v>45461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 t="str">
        <f>IF(C9="","",IFERROR(INDEX(Table7[Holidays],MATCH(C9,Table7[Date],0)),C9))</f>
        <v>Juneteenth</v>
      </c>
      <c r="C9" s="118">
        <f t="shared" si="1"/>
        <v>45462</v>
      </c>
      <c r="D9" s="124"/>
      <c r="E9" s="124"/>
      <c r="F9" s="124"/>
      <c r="G9" s="124"/>
      <c r="H9" s="124"/>
      <c r="I9" s="124"/>
      <c r="J9" s="124"/>
      <c r="K9" s="124"/>
      <c r="L9" s="120">
        <f>IFERROR(IF(C9=INDEX(Worksheet!$M$9:$M$25,MATCH(C9,Worksheet!$M$9:$M$25,0)),SUM(D9:H9),""),"")</f>
        <v>0</v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45463</v>
      </c>
      <c r="C10" s="118">
        <f t="shared" si="1"/>
        <v>45463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45464</v>
      </c>
      <c r="C11" s="118">
        <f t="shared" si="1"/>
        <v>45464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45465</v>
      </c>
      <c r="C12" s="118">
        <f t="shared" si="1"/>
        <v>45465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45466</v>
      </c>
      <c r="C13" s="118">
        <f t="shared" si="1"/>
        <v>45466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45467</v>
      </c>
      <c r="C14" s="118">
        <f t="shared" si="1"/>
        <v>45467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45468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45469</v>
      </c>
      <c r="C16" s="118">
        <f t="shared" si="1"/>
        <v>45469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45470</v>
      </c>
      <c r="C17" s="118">
        <f t="shared" si="1"/>
        <v>45470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45471</v>
      </c>
      <c r="C18" s="118">
        <f t="shared" si="1"/>
        <v>45471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45472</v>
      </c>
      <c r="C19" s="118">
        <f t="shared" si="1"/>
        <v>45472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45473</v>
      </c>
      <c r="C20" s="118">
        <f t="shared" si="1"/>
        <v>45473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45474</v>
      </c>
      <c r="C21" s="118">
        <f t="shared" si="1"/>
        <v>45474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45475</v>
      </c>
      <c r="C22" s="118">
        <f t="shared" si="1"/>
        <v>45475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45476</v>
      </c>
      <c r="C23" s="118">
        <f t="shared" si="1"/>
        <v>45476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 t="str">
        <f>IF(C24="","",IFERROR(INDEX(Table7[Holidays],MATCH(C24,Table7[Date],0)),C24))</f>
        <v>Independence Day</v>
      </c>
      <c r="C24" s="118">
        <f t="shared" si="1"/>
        <v>45477</v>
      </c>
      <c r="D24" s="127"/>
      <c r="E24" s="127"/>
      <c r="F24" s="127"/>
      <c r="G24" s="127"/>
      <c r="H24" s="127"/>
      <c r="I24" s="127"/>
      <c r="J24" s="127"/>
      <c r="K24" s="127"/>
      <c r="L24" s="120">
        <f>IFERROR(IF(C24=INDEX(Worksheet!$M$9:$M$25,MATCH(C24,Worksheet!$M$9:$M$25,0)),SUM(D24:H24),""),"")</f>
        <v>0</v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45478</v>
      </c>
      <c r="C25" s="118">
        <f t="shared" si="1"/>
        <v>45478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45479</v>
      </c>
      <c r="C26" s="118">
        <f t="shared" si="1"/>
        <v>45479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45480</v>
      </c>
      <c r="C27" s="118">
        <f t="shared" si="1"/>
        <v>45480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45481</v>
      </c>
      <c r="C28" s="118">
        <f t="shared" si="1"/>
        <v>45481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45482</v>
      </c>
      <c r="C29" s="118">
        <f t="shared" si="1"/>
        <v>45482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45483</v>
      </c>
      <c r="C30" s="118">
        <f t="shared" si="1"/>
        <v>45483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45484</v>
      </c>
      <c r="C31" s="118">
        <f t="shared" si="1"/>
        <v>45484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45485</v>
      </c>
      <c r="C32" s="118">
        <f t="shared" si="1"/>
        <v>45485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45486</v>
      </c>
      <c r="C33" s="118">
        <f t="shared" si="1"/>
        <v>45486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45487</v>
      </c>
      <c r="C34" s="118">
        <f t="shared" si="1"/>
        <v>45487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45488</v>
      </c>
      <c r="C35" s="118">
        <f t="shared" si="1"/>
        <v>45488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O42" s="57"/>
    </row>
    <row r="43" spans="1:15" hidden="1" x14ac:dyDescent="0.2">
      <c r="B43" s="83"/>
      <c r="C43" s="83"/>
      <c r="D43" s="136"/>
      <c r="E43" s="137"/>
      <c r="F43" s="137"/>
      <c r="G43" s="137"/>
      <c r="H43" s="140"/>
      <c r="I43" s="142"/>
      <c r="J43" s="140"/>
      <c r="K43" s="140"/>
      <c r="L43" s="140"/>
      <c r="M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/>
      <c r="D49" s="97" t="str">
        <f t="shared" ref="C49:G49" si="3">D5</f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  <c r="N56" s="100"/>
    </row>
    <row r="57" spans="1:15" s="85" customFormat="1" x14ac:dyDescent="0.2">
      <c r="A57" s="96"/>
      <c r="B57" s="84" t="s">
        <v>18</v>
      </c>
      <c r="C57" s="84"/>
      <c r="D57" s="100">
        <f>SUM(D51:D55)</f>
        <v>0</v>
      </c>
      <c r="E57" s="100">
        <f>SUM(E51:E55)</f>
        <v>0</v>
      </c>
      <c r="F57" s="100">
        <f t="shared" ref="F57:G57" si="5">SUM(F51:F55)</f>
        <v>0</v>
      </c>
      <c r="G57" s="100">
        <f t="shared" si="5"/>
        <v>0</v>
      </c>
      <c r="H57" s="100">
        <f>SUM(H51:H55)</f>
        <v>0</v>
      </c>
      <c r="I57" s="100">
        <f>SUM(I51:I55)</f>
        <v>0</v>
      </c>
      <c r="J57" s="100">
        <f t="shared" ref="J57:K57" si="6">SUM(J51:J55)</f>
        <v>0</v>
      </c>
      <c r="K57" s="100">
        <f t="shared" si="6"/>
        <v>0</v>
      </c>
      <c r="L57" s="150">
        <f>SUM(L51:L55)</f>
        <v>0</v>
      </c>
      <c r="M57" s="100">
        <f>SUM(M51:M55)</f>
        <v>0</v>
      </c>
      <c r="N57" s="100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</sheetData>
  <sheetProtection formatCells="0" formatColumns="0" formatRows="0"/>
  <dataConsolidate/>
  <mergeCells count="6">
    <mergeCell ref="B1:O1"/>
    <mergeCell ref="B4:O4"/>
    <mergeCell ref="B3:O3"/>
    <mergeCell ref="B2:O2"/>
    <mergeCell ref="C44:L44"/>
    <mergeCell ref="C41:L41"/>
  </mergeCells>
  <conditionalFormatting sqref="M6:M36">
    <cfRule type="cellIs" dxfId="5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E3FECAC5-8FE4-41B4-B8EA-AC5714A51E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B479587-DBD9-46B9-89C5-3CB7640295D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8986C5F-2D79-4F8C-A530-E151620AC6F4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5C367BC-D4C7-4D6E-AE19-360562986CD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BE30B55D-6C7A-4D82-869A-EFADB054BF0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82CABF34-9C9A-4EA4-BA6F-3B4021765FE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4" stopIfTrue="1" id="{D741A1C2-FDD8-474E-B0B2-CC55E44812C1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4DDDD0A-6753-46BC-BEA8-72342FDBFB7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8E53A7BF-0050-448C-9656-A540A7133E7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5AB7CCA1-B930-472C-98F7-9ADB9D14E87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6EF2D9FF-692A-4F6D-9139-7A42CB12972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5" stopIfTrue="1" id="{E63DF165-CEAE-4E12-8C72-ECA26842D2D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6" id="{46CF2973-8ADE-4800-923C-559D238F57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DED37F6-6149-4A95-908E-3F067305C9A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7334E4F6-A49C-4856-B253-8F00385F4D4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E132E70-BB8E-478A-ABE5-D51B3332657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529DFC-84B0-4CA8-A897-B02DBAD6FEC9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4695FE3-6718-4A4C-BBD7-C907E81214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7" stopIfTrue="1" id="{2D55EC25-7E20-4E20-8B78-7ED68AC878D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8643333-D3E3-4AD0-93E4-DDD5CEC130AB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BBD2560-8F04-4AC8-ADF5-A7405E50BD00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AB19132-7D01-4E8B-9C53-2B19510E1C5D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6D045046-A550-44AD-92B8-1AB1106D886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C6F08C72-E660-4E31-AE76-9CDCEEC3B03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A47EFC6-3991-4132-9815-ED2847BF8E17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8" stopIfTrue="1" id="{87B3FD34-51FE-4DFF-BCF2-A73BD305AAD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922B7AC-FFE3-48C2-8120-D22DB5F4E30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97CD275-47F5-4D3D-81E3-6CB91F68EAF9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F2CC1D0-9C3C-4AB9-95CD-6881A1071C17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6DB146-ABAF-4ABE-9E42-60B232AF88C0}">
          <x14:formula1>
            <xm:f>Worksheet!$K$2:$K$6</xm:f>
          </x14:formula1>
          <xm:sqref>B1:O1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69"/>
  <sheetViews>
    <sheetView workbookViewId="0">
      <selection activeCell="G24" sqref="G24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s="117" customFormat="1" ht="18" x14ac:dyDescent="0.25">
      <c r="A1" s="116"/>
      <c r="B1" s="265" t="str">
        <f>'Jun-Jul'!B1:N1</f>
        <v>Dayville SD #16J Timesheet 2024-2025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s="117" customFormat="1" x14ac:dyDescent="0.2">
      <c r="A2" s="11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</row>
    <row r="3" spans="1:15" s="117" customFormat="1" x14ac:dyDescent="0.2">
      <c r="A3" s="116"/>
      <c r="B3" s="266" t="str">
        <f>TEXT(C6,"mmmm d")&amp;" - "&amp;TEXT(C36,"mmmm d")&amp;", "&amp;Worksheet!B1</f>
        <v>July 16 - August 15, 2024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</row>
    <row r="4" spans="1:15" s="117" customFormat="1" x14ac:dyDescent="0.2">
      <c r="A4" s="116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'Jun-Jul'!C35+1</f>
        <v>45489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45490</v>
      </c>
      <c r="C7" s="118">
        <f>C6+1</f>
        <v>45490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45491</v>
      </c>
      <c r="C8" s="118">
        <f t="shared" ref="C8:C35" si="1">C7+1</f>
        <v>45491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45492</v>
      </c>
      <c r="C9" s="118">
        <f t="shared" si="1"/>
        <v>45492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45493</v>
      </c>
      <c r="C10" s="118">
        <f t="shared" si="1"/>
        <v>45493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45494</v>
      </c>
      <c r="C11" s="118">
        <f t="shared" si="1"/>
        <v>45494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45495</v>
      </c>
      <c r="C12" s="118">
        <f t="shared" si="1"/>
        <v>45495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45496</v>
      </c>
      <c r="C13" s="118">
        <f t="shared" si="1"/>
        <v>45496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45497</v>
      </c>
      <c r="C14" s="118">
        <f t="shared" si="1"/>
        <v>45497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45498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45499</v>
      </c>
      <c r="C16" s="118">
        <f t="shared" si="1"/>
        <v>45499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45500</v>
      </c>
      <c r="C17" s="118">
        <f t="shared" si="1"/>
        <v>45500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45501</v>
      </c>
      <c r="C18" s="118">
        <f t="shared" si="1"/>
        <v>45501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45502</v>
      </c>
      <c r="C19" s="118">
        <f t="shared" si="1"/>
        <v>45502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45503</v>
      </c>
      <c r="C20" s="118">
        <f t="shared" si="1"/>
        <v>45503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45504</v>
      </c>
      <c r="C21" s="118">
        <f t="shared" si="1"/>
        <v>45504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45505</v>
      </c>
      <c r="C22" s="118">
        <f t="shared" si="1"/>
        <v>45505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45506</v>
      </c>
      <c r="C23" s="118">
        <f t="shared" si="1"/>
        <v>45506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45507</v>
      </c>
      <c r="C24" s="118">
        <f t="shared" si="1"/>
        <v>45507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45508</v>
      </c>
      <c r="C25" s="118">
        <f t="shared" si="1"/>
        <v>45508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45509</v>
      </c>
      <c r="C26" s="118">
        <f t="shared" si="1"/>
        <v>45509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45510</v>
      </c>
      <c r="C27" s="118">
        <f t="shared" si="1"/>
        <v>45510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45511</v>
      </c>
      <c r="C28" s="118">
        <f t="shared" si="1"/>
        <v>45511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45512</v>
      </c>
      <c r="C29" s="118">
        <f t="shared" si="1"/>
        <v>45512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45513</v>
      </c>
      <c r="C30" s="118">
        <f t="shared" si="1"/>
        <v>45513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45514</v>
      </c>
      <c r="C31" s="118">
        <f t="shared" si="1"/>
        <v>45514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45515</v>
      </c>
      <c r="C32" s="118">
        <f t="shared" si="1"/>
        <v>45515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45516</v>
      </c>
      <c r="C33" s="118">
        <f t="shared" si="1"/>
        <v>45516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45517</v>
      </c>
      <c r="C34" s="118">
        <f t="shared" si="1"/>
        <v>45517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45518</v>
      </c>
      <c r="C35" s="118">
        <f t="shared" si="1"/>
        <v>45518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45519</v>
      </c>
      <c r="C36" s="118">
        <f>IF(C34="","",IF(DAY(C35+1)=DAY(C6),"",C35+1))</f>
        <v>45519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s="117" customFormat="1" x14ac:dyDescent="0.2">
      <c r="A38" s="116"/>
      <c r="B38" s="81"/>
      <c r="C38" s="81"/>
      <c r="D38" s="133"/>
      <c r="E38" s="134"/>
      <c r="F38" s="134"/>
      <c r="G38" s="134"/>
      <c r="H38" s="135"/>
      <c r="I38" s="135"/>
      <c r="J38" s="135"/>
      <c r="K38" s="135"/>
      <c r="L38" s="135" t="s">
        <v>8</v>
      </c>
      <c r="M38" s="135">
        <f>SUM(D37:H37)</f>
        <v>0</v>
      </c>
      <c r="N38" s="133"/>
      <c r="O38" s="133"/>
    </row>
    <row r="39" spans="1:15" hidden="1" x14ac:dyDescent="0.2">
      <c r="B39" s="81"/>
      <c r="C39" s="81"/>
      <c r="D39" s="136"/>
      <c r="E39" s="137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1"/>
      <c r="C40" s="81"/>
      <c r="D40" s="136"/>
      <c r="E40" s="137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7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2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7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1"/>
      <c r="C46" s="81"/>
      <c r="D46" s="136"/>
      <c r="E46" s="137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1"/>
      <c r="C47" s="81"/>
      <c r="D47" s="136"/>
      <c r="E47" s="137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'Jun-Jul'!M55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:K57" si="5">SUM(D51:D55)</f>
        <v>0</v>
      </c>
      <c r="E57" s="100">
        <f t="shared" si="5"/>
        <v>0</v>
      </c>
      <c r="F57" s="100">
        <f t="shared" ref="F57:G57" si="6">SUM(F51:F55)</f>
        <v>0</v>
      </c>
      <c r="G57" s="100">
        <f t="shared" si="6"/>
        <v>0</v>
      </c>
      <c r="H57" s="100">
        <f t="shared" si="5"/>
        <v>0</v>
      </c>
      <c r="I57" s="100">
        <f t="shared" si="5"/>
        <v>0</v>
      </c>
      <c r="J57" s="100">
        <f t="shared" si="5"/>
        <v>0</v>
      </c>
      <c r="K57" s="100">
        <f t="shared" si="5"/>
        <v>0</v>
      </c>
      <c r="L57" s="150">
        <f t="shared" ref="L57" si="7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8">E57-E37</f>
        <v>0</v>
      </c>
      <c r="F59" s="100">
        <f t="shared" si="8"/>
        <v>0</v>
      </c>
      <c r="G59" s="100">
        <f t="shared" si="8"/>
        <v>0</v>
      </c>
      <c r="H59" s="100">
        <f t="shared" si="8"/>
        <v>0</v>
      </c>
      <c r="I59" s="100">
        <f t="shared" si="8"/>
        <v>0</v>
      </c>
      <c r="J59" s="100">
        <f t="shared" si="8"/>
        <v>0</v>
      </c>
      <c r="K59" s="100">
        <f t="shared" si="8"/>
        <v>0</v>
      </c>
      <c r="L59" s="100">
        <f t="shared" si="8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3">
    <cfRule type="cellIs" dxfId="482" priority="220" operator="between">
      <formula>0</formula>
      <formula>0</formula>
    </cfRule>
  </conditionalFormatting>
  <conditionalFormatting sqref="M6:M36">
    <cfRule type="cellIs" dxfId="4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B4B70186-3C69-41FB-8F89-A1BF9A5B1B9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3D1200-01B8-451D-9EF6-ADBAC7CF06E9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D3D0D46A-C39C-4900-9DC8-789376954556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CECD1862-2EED-41CE-9326-7A771082754F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8B1D6486-8C75-46B1-9776-0EE157B227C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0D36AA1-6259-4FD8-8325-2382FA7EEED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21" stopIfTrue="1" id="{A7A3A423-5D75-4D79-917A-B4B5F4155EE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C0C82C3-A04B-43CD-9114-32B046FE04DF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19CE3CBB-11A6-4C31-8732-48A86EB7168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5C635B-65F8-4517-8502-7998C4251AA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D4D7524-D48D-421E-830D-1CCE8328405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2" stopIfTrue="1" id="{3251525B-FF24-4577-BCBE-7CA7DBEEB2E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23" id="{3B02F49C-BE40-4B2C-B38C-EDA05660CF83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490A727-C9AF-4376-90A7-CDEDECABB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909AD334-437B-49EA-A1F8-4EEB71AE5182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3DB03849-74CE-49C9-9893-01E2420D430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371CA08-CE9A-456D-A899-2797204719A7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38F7BE6-67DD-4943-8E81-CADD0A8007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24" stopIfTrue="1" id="{4CB54BEB-7EF7-470F-BE6D-4B65AF552A5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2CF2E97-F76F-4128-9881-44A402729A18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97B9EA66-7341-4538-8E31-6BA637491FA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5AB36B4A-5D3C-4055-81B8-E9E4AB7EE2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A1CFB8A9-43DD-47A5-8311-75D9201DCD0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BA48CCCF-DF6D-44FC-9C41-3770268B2B1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F17B942-65E2-47B3-8653-606CB4C5603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25" stopIfTrue="1" id="{4EDCEDCB-2454-413E-A70F-8A5B6302ED8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FF93154-7BF5-4BE0-BAA8-2CBD3E9964AB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090561A-101B-4C23-A582-4727BF6F723E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D3F9944-5C3E-4672-8509-04AF320F2761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August 16 - September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'Jul-Aug'!C36+1</f>
        <v>45520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45521</v>
      </c>
      <c r="C7" s="118">
        <f>C6+1</f>
        <v>45521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45522</v>
      </c>
      <c r="C8" s="118">
        <f t="shared" ref="C8:C35" si="1">C7+1</f>
        <v>45522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45523</v>
      </c>
      <c r="C9" s="118">
        <f t="shared" si="1"/>
        <v>45523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45524</v>
      </c>
      <c r="C10" s="118">
        <f t="shared" si="1"/>
        <v>45524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45525</v>
      </c>
      <c r="C11" s="118">
        <f t="shared" si="1"/>
        <v>45525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45526</v>
      </c>
      <c r="C12" s="118">
        <f t="shared" si="1"/>
        <v>45526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45527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45528</v>
      </c>
      <c r="C14" s="118">
        <f t="shared" si="1"/>
        <v>45528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45529</v>
      </c>
      <c r="C15" s="118">
        <f t="shared" si="1"/>
        <v>45529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45530</v>
      </c>
      <c r="C16" s="118">
        <f t="shared" si="1"/>
        <v>45530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45531</v>
      </c>
      <c r="C17" s="118">
        <f t="shared" si="1"/>
        <v>45531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45532</v>
      </c>
      <c r="C18" s="118">
        <f t="shared" si="1"/>
        <v>45532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45533</v>
      </c>
      <c r="C19" s="118">
        <f t="shared" si="1"/>
        <v>45533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45534</v>
      </c>
      <c r="C20" s="118">
        <f t="shared" si="1"/>
        <v>45534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45535</v>
      </c>
      <c r="C21" s="118">
        <f t="shared" si="1"/>
        <v>45535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45536</v>
      </c>
      <c r="C22" s="118">
        <f t="shared" si="1"/>
        <v>45536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 t="str">
        <f>IF(C23="","",IFERROR(INDEX(Table7[Holidays],MATCH(C23,Table7[Date],0)),C23))</f>
        <v>Labor Day</v>
      </c>
      <c r="C23" s="118">
        <f t="shared" si="1"/>
        <v>45537</v>
      </c>
      <c r="D23" s="129"/>
      <c r="E23" s="129"/>
      <c r="F23" s="129"/>
      <c r="G23" s="129"/>
      <c r="H23" s="129"/>
      <c r="I23" s="129"/>
      <c r="J23" s="129"/>
      <c r="K23" s="129"/>
      <c r="L23" s="120">
        <f>IFERROR(IF(C23=INDEX(Worksheet!$M$9:$M$25,MATCH(C23,Worksheet!$M$9:$M$25,0)),SUM(D23:H23),""),"")</f>
        <v>0</v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45538</v>
      </c>
      <c r="C24" s="118">
        <f t="shared" si="1"/>
        <v>45538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45539</v>
      </c>
      <c r="C25" s="118">
        <f t="shared" si="1"/>
        <v>45539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45540</v>
      </c>
      <c r="C26" s="118">
        <f t="shared" si="1"/>
        <v>45540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45541</v>
      </c>
      <c r="C27" s="118">
        <f t="shared" si="1"/>
        <v>45541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45542</v>
      </c>
      <c r="C28" s="118">
        <f t="shared" si="1"/>
        <v>45542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45543</v>
      </c>
      <c r="C29" s="118">
        <f t="shared" si="1"/>
        <v>45543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45544</v>
      </c>
      <c r="C30" s="118">
        <f t="shared" si="1"/>
        <v>45544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45545</v>
      </c>
      <c r="C31" s="118">
        <f t="shared" si="1"/>
        <v>45545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45546</v>
      </c>
      <c r="C32" s="118">
        <f t="shared" si="1"/>
        <v>45546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45547</v>
      </c>
      <c r="C33" s="118">
        <f t="shared" si="1"/>
        <v>45547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45548</v>
      </c>
      <c r="C34" s="118">
        <f t="shared" si="1"/>
        <v>45548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45549</v>
      </c>
      <c r="C35" s="118">
        <f t="shared" si="1"/>
        <v>45549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45550</v>
      </c>
      <c r="C36" s="118">
        <f>IF(C34="","",IF(DAY(C35+1)=DAY(C6),"",C35+1))</f>
        <v>45550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270"/>
      <c r="K39" s="27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'Jul-Aug'!M55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SUMIF($C$6:$C$35,"&lt;="&amp;$C$6+(7-WEEKDAY($C$6))+(RIGHT(B52,1)*7)-7,$K$6:$K$35)-SUM(K$49:K51)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SUMIF($C$6:$C$35,"&lt;="&amp;$C$6+(7-WEEKDAY($C$6))+(RIGHT(B53,1)*7)-7,$K$6:$K$35)-SUM(K$49:K52)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SUMIF($C$6:$C$35,"&lt;="&amp;$C$6+(7-WEEKDAY($C$6))+(RIGHT(B54,1)*7)-7,$K$6:$K$35)-SUM(K$49:K53)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SUMIF($C$6:$C$35,"&lt;="&amp;$C$6+(7-WEEKDAY($C$6))+(RIGHT(B55,1)*7)-7,$K$6:$K$35)-SUM(K$49:K54)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7">
    <mergeCell ref="C44:L44"/>
    <mergeCell ref="C41:L41"/>
    <mergeCell ref="J39:K39"/>
    <mergeCell ref="B2:O2"/>
    <mergeCell ref="B1:O1"/>
    <mergeCell ref="B4:O4"/>
    <mergeCell ref="B3:O3"/>
  </mergeCells>
  <conditionalFormatting sqref="C43">
    <cfRule type="cellIs" dxfId="452" priority="190" operator="between">
      <formula>0</formula>
      <formula>0</formula>
    </cfRule>
  </conditionalFormatting>
  <conditionalFormatting sqref="M6:M36">
    <cfRule type="cellIs" dxfId="4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778F57-F4FC-4C59-B102-DB4E26EBA65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9A66483B-0A7A-480B-96E3-7539CE918D9D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231B096F-AAF5-47F7-BA90-EBC2B579BDB8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45A5C9E-720C-4D3B-BF3B-3850E1805DE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554F2C2C-1CF1-4FCD-B255-C0CF3A4BDCA9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0F9F8302-C84A-4C08-9B55-20C9DBDADECC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1" stopIfTrue="1" id="{DCD3DF27-22BD-4878-AC83-3129B552080F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4D1DB6AB-633D-477B-BB6C-514987C00ACD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DDFEF9B6-AD6A-43F4-A1F6-8EDF9A62A8D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5C78130-DED2-4314-8F1E-96BD9243116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4F7F103D-3A88-4F67-B292-2D918C5E7D7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2" stopIfTrue="1" id="{C9EF6083-0718-4BCD-9741-6B35B62D29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3" id="{20A3573F-A629-4B20-BADC-A33A5DB4708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C2C933B-891D-4C00-9549-6EF16FA0BEF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D0039D0-CA34-4803-A80C-F832C9559C76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93B26A53-F7CF-4E82-880D-7CE68DB463E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2018B28-1A3B-4EFA-B4A1-01A80669878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9C9915B4-D504-43AB-BE3D-09E625E52A9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4" stopIfTrue="1" id="{E7558F07-FEFC-4B0A-BF0C-E12C65BE3AB2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25CE31D-924F-4E8A-8DAC-590D5209391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FD0DE0A3-D548-446B-8B37-3527B43E61EC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79ECD1F-FBA3-4860-98AD-F3D920183A3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3DEBF900-E1E8-4ECE-A6F6-75F2F39CBCBD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4D59DF31-DD19-49AD-8FB4-50173ABF6B8B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CEA52C9-4870-4796-9AEA-4B0989FEF60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95" stopIfTrue="1" id="{7D9A5C71-B077-401A-9FDA-DD87B725A75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BB54671A-E5ED-4359-8525-2C88FF1D0B88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76340C7-C6D0-4842-B0C5-A13DDE868EFF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6F84CDDF-AF9E-42DC-92A8-63BF815A0C3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September 16 - October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'Aug-Sep'!C36+1</f>
        <v>45551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45552</v>
      </c>
      <c r="C7" s="118">
        <f>C6+1</f>
        <v>45552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45553</v>
      </c>
      <c r="C8" s="118">
        <f t="shared" ref="C8:C35" si="1">C7+1</f>
        <v>45553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45554</v>
      </c>
      <c r="C9" s="118">
        <f t="shared" si="1"/>
        <v>45554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45555</v>
      </c>
      <c r="C10" s="118">
        <f t="shared" si="1"/>
        <v>45555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45556</v>
      </c>
      <c r="C11" s="118">
        <f t="shared" si="1"/>
        <v>45556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45557</v>
      </c>
      <c r="C12" s="118">
        <f t="shared" si="1"/>
        <v>45557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45558</v>
      </c>
      <c r="C13" s="118">
        <f t="shared" si="1"/>
        <v>45558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45559</v>
      </c>
      <c r="C14" s="118">
        <f t="shared" si="1"/>
        <v>45559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45560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45561</v>
      </c>
      <c r="C16" s="118">
        <f t="shared" si="1"/>
        <v>45561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45562</v>
      </c>
      <c r="C17" s="118">
        <f t="shared" si="1"/>
        <v>45562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45563</v>
      </c>
      <c r="C18" s="118">
        <f t="shared" si="1"/>
        <v>45563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45564</v>
      </c>
      <c r="C19" s="118">
        <f t="shared" si="1"/>
        <v>45564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45565</v>
      </c>
      <c r="C20" s="118">
        <f t="shared" si="1"/>
        <v>45565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45566</v>
      </c>
      <c r="C21" s="118">
        <f t="shared" si="1"/>
        <v>45566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45567</v>
      </c>
      <c r="C22" s="118">
        <f t="shared" si="1"/>
        <v>45567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45568</v>
      </c>
      <c r="C23" s="118">
        <f t="shared" si="1"/>
        <v>45568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45569</v>
      </c>
      <c r="C24" s="118">
        <f t="shared" si="1"/>
        <v>45569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45570</v>
      </c>
      <c r="C25" s="118">
        <f t="shared" si="1"/>
        <v>45570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45571</v>
      </c>
      <c r="C26" s="118">
        <f t="shared" si="1"/>
        <v>45571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45572</v>
      </c>
      <c r="C27" s="118">
        <f t="shared" si="1"/>
        <v>45572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45573</v>
      </c>
      <c r="C28" s="118">
        <f t="shared" si="1"/>
        <v>45573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45574</v>
      </c>
      <c r="C29" s="118">
        <f t="shared" si="1"/>
        <v>45574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45575</v>
      </c>
      <c r="C30" s="118">
        <f t="shared" si="1"/>
        <v>45575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45576</v>
      </c>
      <c r="C31" s="118">
        <f t="shared" si="1"/>
        <v>45576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45577</v>
      </c>
      <c r="C32" s="118">
        <f t="shared" si="1"/>
        <v>45577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45578</v>
      </c>
      <c r="C33" s="118">
        <f t="shared" si="1"/>
        <v>45578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45579</v>
      </c>
      <c r="C34" s="118">
        <f t="shared" si="1"/>
        <v>45579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45580</v>
      </c>
      <c r="C35" s="118">
        <f t="shared" si="1"/>
        <v>45580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'Aug-Sep'!M55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SUMIF($C$6:$C$36,"&lt;="&amp;$C$6+(7-WEEKDAY($C$6))+(RIGHT($B51,1)*7)-7,$I$6:$I$36)-SUM(I$50:I50)</f>
        <v>0</v>
      </c>
      <c r="J51" s="100">
        <f>SUMIF($C$6:$C$36,"&lt;="&amp;$C$6+(7-WEEKDAY($C$6))+(RIGHT($B51,1)*7)-7,$J$6:$J$36)-SUM(J$50:J50)</f>
        <v>0</v>
      </c>
      <c r="K51" s="100">
        <f>SUMIF($C$6:$C$36,"&lt;="&amp;$C$6+(7-WEEKDAY($C$6))+(RIGHT($B51,1)*7)-7,$K$6:$K$36)-SUM(K$50:K50)</f>
        <v>0</v>
      </c>
      <c r="L51" s="150">
        <f>SUMIF($C$6:$C$36,"&lt;="&amp;$C$6+(7-WEEKDAY($C$6))+(RIGHT($B51,1)*7)-7,$L$6:$L$36)-SUM(L$50:L50)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SUMIF($C$6:$C$36,"&lt;="&amp;$C$6+(7-WEEKDAY($C$6))+(RIGHT($B52,1)*7)-7,$I$6:$I$36)-SUM(I$50:I51)</f>
        <v>0</v>
      </c>
      <c r="J52" s="100">
        <f>SUMIF($C$6:$C$36,"&lt;="&amp;$C$6+(7-WEEKDAY($C$6))+(RIGHT($B52,1)*7)-7,$J$6:$J$36)-SUM(J$50:J51)</f>
        <v>0</v>
      </c>
      <c r="K52" s="100">
        <f>SUMIF($C$6:$C$36,"&lt;="&amp;$C$6+(7-WEEKDAY($C$6))+(RIGHT($B52,1)*7)-7,$K$6:$K$36)-SUM(K$50:K51)</f>
        <v>0</v>
      </c>
      <c r="L52" s="150">
        <f>SUMIF($C$6:$C$36,"&lt;="&amp;$C$6+(7-WEEKDAY($C$6))+(RIGHT($B52,1)*7)-7,$L$6:$L$36)-SUM(L$50:L51)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SUMIF($C$6:$C$36,"&lt;="&amp;$C$6+(7-WEEKDAY($C$6))+(RIGHT($B53,1)*7)-7,$I$6:$I$36)-SUM(I$50:I52)</f>
        <v>0</v>
      </c>
      <c r="J53" s="100">
        <f>SUMIF($C$6:$C$36,"&lt;="&amp;$C$6+(7-WEEKDAY($C$6))+(RIGHT($B53,1)*7)-7,$J$6:$J$36)-SUM(J$50:J52)</f>
        <v>0</v>
      </c>
      <c r="K53" s="100">
        <f>SUMIF($C$6:$C$36,"&lt;="&amp;$C$6+(7-WEEKDAY($C$6))+(RIGHT($B53,1)*7)-7,$K$6:$K$36)-SUM(K$50:K52)</f>
        <v>0</v>
      </c>
      <c r="L53" s="150">
        <f>SUMIF($C$6:$C$36,"&lt;="&amp;$C$6+(7-WEEKDAY($C$6))+(RIGHT($B53,1)*7)-7,$L$6:$L$36)-SUM(L$50:L52)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SUMIF($C$6:$C$36,"&lt;="&amp;$C$6+(7-WEEKDAY($C$6))+(RIGHT($B54,1)*7)-7,$I$6:$I$36)-SUM(I$50:I53)</f>
        <v>0</v>
      </c>
      <c r="J54" s="100">
        <f>SUMIF($C$6:$C$36,"&lt;="&amp;$C$6+(7-WEEKDAY($C$6))+(RIGHT($B54,1)*7)-7,$J$6:$J$36)-SUM(J$50:J53)</f>
        <v>0</v>
      </c>
      <c r="K54" s="100">
        <f>SUMIF($C$6:$C$36,"&lt;="&amp;$C$6+(7-WEEKDAY($C$6))+(RIGHT($B54,1)*7)-7,$K$6:$K$36)-SUM(K$50:K53)</f>
        <v>0</v>
      </c>
      <c r="L54" s="150">
        <f>SUMIF($C$6:$C$36,"&lt;="&amp;$C$6+(7-WEEKDAY($C$6))+(RIGHT($B54,1)*7)-7,$L$6:$L$36)-SUM(L$50:L53)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SUMIF($C$6:$C$36,"&lt;="&amp;$C$6+(7-WEEKDAY($C$6))+(RIGHT($B55,1)*7)-7,$I$6:$I$36)-SUM(I$50:I54)</f>
        <v>0</v>
      </c>
      <c r="J55" s="100">
        <f>SUMIF($C$6:$C$36,"&lt;="&amp;$C$6+(7-WEEKDAY($C$6))+(RIGHT($B55,1)*7)-7,$J$6:$J$36)-SUM(J$50:J54)</f>
        <v>0</v>
      </c>
      <c r="K55" s="100">
        <f>SUMIF($C$6:$C$36,"&lt;="&amp;$C$6+(7-WEEKDAY($C$6))+(RIGHT($B55,1)*7)-7,$K$6:$K$36)-SUM(K$50:K54)</f>
        <v>0</v>
      </c>
      <c r="L55" s="150">
        <f>SUMIF($C$6:$C$36,"&lt;="&amp;$C$6+(7-WEEKDAY($C$6))+(RIGHT($B55,1)*7)-7,$L$6:$L$36)-SUM(L$50:L54)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x14ac:dyDescent="0.2">
      <c r="I62" s="100"/>
      <c r="J62" s="100"/>
      <c r="K62" s="100"/>
      <c r="L62" s="144"/>
      <c r="M62" s="144"/>
      <c r="N62" s="57"/>
    </row>
    <row r="63" spans="1:15" x14ac:dyDescent="0.2">
      <c r="I63" s="100"/>
      <c r="J63" s="100"/>
      <c r="K63" s="100"/>
      <c r="L63" s="144"/>
      <c r="M63" s="144"/>
      <c r="N63" s="57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422" priority="204" operator="between">
      <formula>0</formula>
      <formula>0</formula>
    </cfRule>
  </conditionalFormatting>
  <conditionalFormatting sqref="M6:M36">
    <cfRule type="cellIs" dxfId="42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0658CFC-5E82-49CB-AA5C-D153DAD8D70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6FFB742-7C75-4E9F-9AFD-C934D6DE4878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EDD7C11-F632-4A78-B98B-F522406DB52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9AC0EF2-DA4E-4C08-8252-79F714A03BD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744AB68-6A08-413D-9978-BFC708D96AFD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9003F5C6-53ED-4FB6-AA82-4EEF5A1DBE6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05" stopIfTrue="1" id="{BF3CAD51-34B0-4AE4-BD09-86BA3A08C6B9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BD6721E-C2F8-4B15-B900-CCD739C68AA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518AA14B-59CD-44BE-83FC-6DA6EC3E202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BBAADB86-E20C-4B64-90F1-026258258D92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1285F87-508D-4F1D-A6ED-5F5501A6AAC2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6" stopIfTrue="1" id="{34756C75-7D01-424C-98C4-6EA5224EA02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207" id="{5ACA3BBE-D465-404A-A63A-810EC4B2767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2745C65B-5DE6-4D47-925E-856324D22550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10F1AB30-8CDD-46D1-82F8-AB0B90A4E9C7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91110F4-399C-46DB-BFEB-12F319BC4E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3DCB046C-538D-40AD-B6AA-E701B7EBD25A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D023F6A1-DC54-4012-A11F-691651CF62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208" stopIfTrue="1" id="{64394215-44C9-49F8-84B2-9DAC5C6708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A5F8AC20-F629-4F3C-BFF4-EB8C5623B2F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C1E2A8-6FC8-406C-B8A1-FA5B6F70A8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A9C305-89C1-44AC-8060-E3F2B540D6CE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3CE0864-FD4D-4EB8-9540-F10B527C4E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0E0A7D90-EDA7-4C0E-AA48-F6DB7DD5CA0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1FB41B-1F3A-4244-81BF-B3E82FDB6E8E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9" stopIfTrue="1" id="{2113FC95-87B3-4C5F-8433-9BD29260F51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5FAE4446-6C38-4664-9945-1658895213B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2856423-282F-4A41-8989-F4285CD3EA9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9606533-FFA6-48B2-9195-C6F30F73424A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"&amp;Worksheet!B1</f>
        <v>October 16 - November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'Sep-Oct'!C35+1</f>
        <v>45581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45582</v>
      </c>
      <c r="C7" s="118">
        <f>C6+1</f>
        <v>45582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45583</v>
      </c>
      <c r="C8" s="118">
        <f t="shared" ref="C8:C35" si="1">C7+1</f>
        <v>45583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45584</v>
      </c>
      <c r="C9" s="118">
        <f t="shared" si="1"/>
        <v>45584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45585</v>
      </c>
      <c r="C10" s="118">
        <f t="shared" si="1"/>
        <v>45585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45586</v>
      </c>
      <c r="C11" s="118">
        <f t="shared" si="1"/>
        <v>45586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45587</v>
      </c>
      <c r="C12" s="118">
        <f t="shared" si="1"/>
        <v>45587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45588</v>
      </c>
      <c r="C13" s="118">
        <f t="shared" si="1"/>
        <v>45588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45589</v>
      </c>
      <c r="C14" s="118">
        <f t="shared" si="1"/>
        <v>45589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45590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45591</v>
      </c>
      <c r="C16" s="118">
        <f t="shared" si="1"/>
        <v>45591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45592</v>
      </c>
      <c r="C17" s="118">
        <f t="shared" si="1"/>
        <v>45592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45593</v>
      </c>
      <c r="C18" s="118">
        <f t="shared" si="1"/>
        <v>45593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45594</v>
      </c>
      <c r="C19" s="118">
        <f t="shared" si="1"/>
        <v>45594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45595</v>
      </c>
      <c r="C20" s="118">
        <f t="shared" si="1"/>
        <v>45595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45596</v>
      </c>
      <c r="C21" s="118">
        <f t="shared" si="1"/>
        <v>45596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45597</v>
      </c>
      <c r="C22" s="118">
        <f t="shared" si="1"/>
        <v>45597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45598</v>
      </c>
      <c r="C23" s="118">
        <f t="shared" si="1"/>
        <v>45598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45599</v>
      </c>
      <c r="C24" s="118">
        <f t="shared" si="1"/>
        <v>45599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45600</v>
      </c>
      <c r="C25" s="118">
        <f t="shared" si="1"/>
        <v>45600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45601</v>
      </c>
      <c r="C26" s="118">
        <f t="shared" si="1"/>
        <v>45601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45602</v>
      </c>
      <c r="C27" s="118">
        <f t="shared" si="1"/>
        <v>45602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45603</v>
      </c>
      <c r="C28" s="118">
        <f t="shared" si="1"/>
        <v>45603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45604</v>
      </c>
      <c r="C29" s="118">
        <f t="shared" si="1"/>
        <v>45604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45605</v>
      </c>
      <c r="C30" s="118">
        <f t="shared" si="1"/>
        <v>45605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45606</v>
      </c>
      <c r="C31" s="118">
        <f t="shared" si="1"/>
        <v>45606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 t="str">
        <f>IF(C32="","",IFERROR(INDEX(Table7[Holidays],MATCH(C32,Table7[Date],0)),C32))</f>
        <v>Veteran's Day</v>
      </c>
      <c r="C32" s="118">
        <f t="shared" si="1"/>
        <v>45607</v>
      </c>
      <c r="D32" s="119"/>
      <c r="E32" s="119"/>
      <c r="F32" s="119"/>
      <c r="G32" s="119"/>
      <c r="H32" s="119"/>
      <c r="I32" s="119"/>
      <c r="J32" s="119"/>
      <c r="K32" s="119"/>
      <c r="L32" s="120">
        <f>IFERROR(IF(C32=INDEX(Worksheet!$M$9:$M$25,MATCH(C32,Worksheet!$M$9:$M$25,0)),SUM(D32:H32),""),"")</f>
        <v>0</v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45608</v>
      </c>
      <c r="C33" s="118">
        <f t="shared" si="1"/>
        <v>45608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45609</v>
      </c>
      <c r="C34" s="118">
        <f t="shared" si="1"/>
        <v>45609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45610</v>
      </c>
      <c r="C35" s="118">
        <f t="shared" si="1"/>
        <v>45610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45611</v>
      </c>
      <c r="C36" s="118">
        <f>IF(C34="","",IF(DAY(C35+1)=DAY(C6),"",C35+1))</f>
        <v>45611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'Sep-Oct'!M55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92" priority="195" operator="between">
      <formula>0</formula>
      <formula>0</formula>
    </cfRule>
  </conditionalFormatting>
  <conditionalFormatting sqref="M6:M36">
    <cfRule type="cellIs" dxfId="39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C98E016E-783A-45F3-9262-31883AA8D83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6DAB11-A42D-4AAF-A016-F4696B34A7B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FFF47B76-32C8-4310-9404-32F907B234F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ECA8A264-F17A-4C95-9643-686A07A9CB2C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6F5C3FD2-BF24-468B-BEB3-3C5CDC129E70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6D74C4B-6445-484B-A822-5657509F1112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96" stopIfTrue="1" id="{98732A5E-D75C-47C9-AB46-7540E0AA012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E921E10F-126C-4FB4-BA43-266EFDAC19F0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5D7B905-8D6A-416F-8E5B-DC4FECB003E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4A47A86-D694-4328-9AB7-3A79D017CA1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03BE31B1-7E1C-42CA-A167-6BCE458D6CC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97" stopIfTrue="1" id="{26789EA5-5D25-4E03-BFD4-EC51A1BFD15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98" id="{9B6F5F62-B3A6-481E-9301-929EAAA2D3C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D7A3AEE9-2703-4B71-999E-722B80BF0824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6130AF42-D9D9-47A8-B5B1-7C64A0AB902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485F4415-9908-403A-96DA-7CF28BC5611E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E003D67-E0DF-4B79-B957-C3C16F3857F8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E22DDE5B-91E4-4A4F-9ACD-F418DA4D63B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99" stopIfTrue="1" id="{841803DC-3349-4081-B625-F086C98662B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EB8A3D5-C75D-4032-B2F6-DC380CD6285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0D27A9FC-2429-4F6E-B251-3679107954A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E77CC4C-C1C9-417B-93DD-FC71A463B54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E3346552-85E4-4D40-922C-AA0A304BF2D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8D0C92BC-2B4C-43D9-A103-BAD232AB7FBA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9EA0A858-BFCD-49F9-AD5B-355A36F043A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200" stopIfTrue="1" id="{AC8312AE-0AEA-4E12-A178-E20B665B96CB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98EB69EA-A22E-4617-9199-1D2BBA82A41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C06609F8-D24C-4EB5-A081-EA92519AFCCA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09A7A054-83B1-41F1-B444-A74FCD024E33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O69"/>
  <sheetViews>
    <sheetView topLeftCell="A4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"&amp;Worksheet!B1</f>
        <v>November 16 - December 15, 2024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45612</v>
      </c>
      <c r="C6" s="118">
        <f>'Oct-Nov'!C36+1</f>
        <v>45612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45613</v>
      </c>
      <c r="C7" s="118">
        <f>C6+1</f>
        <v>45613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5" si="1">C7+1</f>
        <v>45614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45615</v>
      </c>
      <c r="C9" s="118">
        <f t="shared" si="1"/>
        <v>45615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45616</v>
      </c>
      <c r="C10" s="118">
        <f t="shared" si="1"/>
        <v>45616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45617</v>
      </c>
      <c r="C11" s="118">
        <f t="shared" si="1"/>
        <v>45617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45618</v>
      </c>
      <c r="C12" s="118">
        <f t="shared" si="1"/>
        <v>45618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45619</v>
      </c>
      <c r="C13" s="118">
        <f t="shared" si="1"/>
        <v>45619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45620</v>
      </c>
      <c r="C14" s="118">
        <f t="shared" si="1"/>
        <v>45620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45621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45622</v>
      </c>
      <c r="C16" s="118">
        <f t="shared" si="1"/>
        <v>45622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45623</v>
      </c>
      <c r="C17" s="118">
        <f t="shared" si="1"/>
        <v>45623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Thanksgiving Day</v>
      </c>
      <c r="C18" s="118">
        <f t="shared" si="1"/>
        <v>45624</v>
      </c>
      <c r="D18" s="127"/>
      <c r="E18" s="127"/>
      <c r="F18" s="127"/>
      <c r="G18" s="127"/>
      <c r="H18" s="127"/>
      <c r="I18" s="127"/>
      <c r="J18" s="127"/>
      <c r="K18" s="127"/>
      <c r="L18" s="120">
        <f>IFERROR(IF(C18=INDEX(Worksheet!$M$9:$M$25,MATCH(C18,Worksheet!$M$9:$M$25,0)),SUM(D18:H18),""),"")</f>
        <v>0</v>
      </c>
      <c r="M18" s="121">
        <f t="shared" si="0"/>
        <v>0</v>
      </c>
      <c r="N18" s="122"/>
      <c r="O18" s="128"/>
    </row>
    <row r="19" spans="1:15" x14ac:dyDescent="0.2">
      <c r="B19" s="80" t="str">
        <f>IF(C19="","",IFERROR(INDEX(Table7[Holidays],MATCH(C19,Table7[Date],0)),C19))</f>
        <v>Thanksgiving Holiday</v>
      </c>
      <c r="C19" s="118">
        <f t="shared" si="1"/>
        <v>45625</v>
      </c>
      <c r="D19" s="119"/>
      <c r="E19" s="119"/>
      <c r="F19" s="119"/>
      <c r="G19" s="119"/>
      <c r="H19" s="119"/>
      <c r="I19" s="119"/>
      <c r="J19" s="119"/>
      <c r="K19" s="119"/>
      <c r="L19" s="120">
        <f>IFERROR(IF(C19=INDEX(Worksheet!$M$9:$M$25,MATCH(C19,Worksheet!$M$9:$M$25,0)),SUM(D19:H19),""),"")</f>
        <v>0</v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45626</v>
      </c>
      <c r="C20" s="118">
        <f t="shared" si="1"/>
        <v>45626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45627</v>
      </c>
      <c r="C21" s="118">
        <f t="shared" si="1"/>
        <v>45627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45628</v>
      </c>
      <c r="C22" s="118">
        <f t="shared" si="1"/>
        <v>45628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ht="30" x14ac:dyDescent="0.2">
      <c r="A23" s="126"/>
      <c r="B23" s="80">
        <f>IF(C23="","",IFERROR(INDEX(Table7[Holidays],MATCH(C23,Table7[Date],0)),C23))</f>
        <v>45629</v>
      </c>
      <c r="C23" s="118">
        <f t="shared" si="1"/>
        <v>45629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t="30" x14ac:dyDescent="0.2">
      <c r="B24" s="80">
        <f>IF(C24="","",IFERROR(INDEX(Table7[Holidays],MATCH(C24,Table7[Date],0)),C24))</f>
        <v>45630</v>
      </c>
      <c r="C24" s="118">
        <f t="shared" si="1"/>
        <v>45630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45631</v>
      </c>
      <c r="C25" s="118">
        <f t="shared" si="1"/>
        <v>45631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45632</v>
      </c>
      <c r="C26" s="118">
        <f t="shared" si="1"/>
        <v>45632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45633</v>
      </c>
      <c r="C27" s="118">
        <f t="shared" si="1"/>
        <v>45633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45634</v>
      </c>
      <c r="C28" s="118">
        <f t="shared" si="1"/>
        <v>45634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45635</v>
      </c>
      <c r="C29" s="118">
        <f t="shared" si="1"/>
        <v>45635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45636</v>
      </c>
      <c r="C30" s="118">
        <f t="shared" si="1"/>
        <v>45636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45637</v>
      </c>
      <c r="C31" s="118">
        <f t="shared" si="1"/>
        <v>45637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45638</v>
      </c>
      <c r="C32" s="118">
        <f t="shared" si="1"/>
        <v>45638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45639</v>
      </c>
      <c r="C33" s="118">
        <f t="shared" si="1"/>
        <v>45639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45640</v>
      </c>
      <c r="C34" s="118">
        <f t="shared" si="1"/>
        <v>45640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45641</v>
      </c>
      <c r="C35" s="118">
        <f t="shared" si="1"/>
        <v>45641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40"/>
      <c r="J39" s="140"/>
      <c r="K39" s="140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'Oct-Nov'!M55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SUMIF($C$6:$C$35,"&lt;="&amp;$C$6+(7-WEEKDAY($C$6))+(RIGHT(B51,1)*7)-7,$I$6:$I$35)-SUM(I$50:I50)</f>
        <v>0</v>
      </c>
      <c r="J51" s="100">
        <f>SUMIF($C$6:$C$35,"&lt;="&amp;$C$6+(7-WEEKDAY($C$6))+(RIGHT(B51,1)*7)-7,$J$6:$J$35)-SUM(J$50:J50)</f>
        <v>0</v>
      </c>
      <c r="K51" s="100">
        <f>SUMIF($C$6:$C$35,"&lt;="&amp;$C$6+(7-WEEKDAY($C$6))+(RIGHT(B51,1)*7)-7,$K$6:$K$35)-SUM(K$50:K50)</f>
        <v>0</v>
      </c>
      <c r="L51" s="150">
        <f>SUMIF($C$6:$C$35,"&lt;="&amp;$C$6+(7-WEEKDAY($C$6))+(RIGHT(B51,1)*7)-7,$L$6:$L$35)-SUM(L$50:L50)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SUMIF($C$6:$C$35,"&lt;="&amp;$C$6+(7-WEEKDAY($C$6))+(RIGHT(B52,1)*7)-7,$L$6:$L$35)-SUM(L$50:L51)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SUMIF($C$6:$C$35,"&lt;="&amp;$C$6+(7-WEEKDAY($C$6))+(RIGHT(B53,1)*7)-7,$L$6:$L$35)-SUM(L$50:L52)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SUMIF($C$6:$C$35,"&lt;="&amp;$C$6+(7-WEEKDAY($C$6))+(RIGHT(B54,1)*7)-7,$L$6:$L$35)-SUM(L$50:L53)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SUMIF($C$6:$C$35,"&lt;="&amp;$C$6+(7-WEEKDAY($C$6))+(RIGHT(B55,1)*7)-7,$L$6:$L$35)-SUM(L$50:L54)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362" priority="181" operator="between">
      <formula>0</formula>
      <formula>0</formula>
    </cfRule>
  </conditionalFormatting>
  <conditionalFormatting sqref="M6:M36">
    <cfRule type="cellIs" dxfId="36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4471987E-B52F-4A46-9A4D-6D4CDE975525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BA976E6-5AC1-42F3-98A2-E90F30B9AC94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C1A157CB-D45C-413E-89FC-4329F575D62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0B51E8D0-CE02-4137-A534-6DFC403D5258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406E28C-B280-43CB-9B87-D5AB782E0D5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24A9B8F2-3BD1-40D1-8E63-771AB1A30C4F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82" stopIfTrue="1" id="{BB53AF24-E7B1-4DFB-9CFC-50EB65459A5B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C4E6699A-9B42-4226-8911-A671A7349738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982E776-61D7-45CB-B728-16D2530AEC3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24E0C51D-279F-4F89-8E1D-E8D65D39857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EBEF4746-1ED5-40FB-9CDE-91A59D0DD52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83" stopIfTrue="1" id="{AFAFC7E0-4C1F-48B5-8826-87269E0F8193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84" id="{533E6278-EB5D-41DC-9745-D8B56DECCE89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0017A38C-1298-40BA-BEAC-EAAD0CE9EA6C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5DA61DF2-F4BC-4891-8613-6F2B14E6A075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5AC9B28C-47A8-46AA-AD51-3A03DB94EFF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E6B46518-E76C-4853-A53F-FBFBF4673160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4FB233B2-62F4-4809-83D2-D826CF34D36F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85" stopIfTrue="1" id="{87BCA96E-6803-4548-93EF-A67634692EA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C0DED7B0-89E5-4A59-8BF2-6E53878C518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3A35DA53-95E9-4AAA-AA77-6112ED6C0C5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70DC7BDB-A0DA-4EE8-9CBC-7209B8672148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527CE2B-DBBC-44C0-BE67-577B5E220B87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ABD3278-0CEA-4C9E-89A1-5FFC38837D9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6B46964-A10E-431B-9699-52A79054D42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86" stopIfTrue="1" id="{5AC240C4-7582-4C84-9003-E6982B047B6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D6079A34-34B7-40CA-A31E-F0BF87FEAEA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94500A50-A2B6-4B4A-94AC-DA54D1438C22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5E103092-3DC3-4714-8685-E047A211984F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8.28515625" style="155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d, yyyy")&amp;" - "&amp;TEXT(C36,"mmmm d")&amp;", "&amp;Worksheet!C1</f>
        <v>December 16, 2024 - January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'Nov-Dec'!C35+1</f>
        <v>45642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45643</v>
      </c>
      <c r="C7" s="118">
        <f>C6+1</f>
        <v>45643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45644</v>
      </c>
      <c r="C8" s="118">
        <f t="shared" ref="C8:C35" si="1">C7+1</f>
        <v>45644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45645</v>
      </c>
      <c r="C9" s="118">
        <f t="shared" si="1"/>
        <v>45645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Christmas Break</v>
      </c>
      <c r="C10" s="118">
        <f t="shared" si="1"/>
        <v>45646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 t="str">
        <f>IF(C11="","",IFERROR(INDEX(Table7[Holidays],MATCH(C11,Table7[Date],0)),C11))</f>
        <v>Christmas Break</v>
      </c>
      <c r="C11" s="118">
        <f t="shared" si="1"/>
        <v>45647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 t="str">
        <f>IF(C12="","",IFERROR(INDEX(Table7[Holidays],MATCH(C12,Table7[Date],0)),C12))</f>
        <v>Christmas Break</v>
      </c>
      <c r="C12" s="118">
        <f t="shared" si="1"/>
        <v>45648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Christmas Break</v>
      </c>
      <c r="C13" s="118">
        <f t="shared" si="1"/>
        <v>45649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45650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Christmas Day</v>
      </c>
      <c r="C15" s="118">
        <f t="shared" si="1"/>
        <v>45651</v>
      </c>
      <c r="D15" s="119"/>
      <c r="E15" s="119"/>
      <c r="F15" s="119"/>
      <c r="G15" s="119"/>
      <c r="H15" s="119"/>
      <c r="I15" s="119"/>
      <c r="J15" s="119"/>
      <c r="K15" s="119"/>
      <c r="L15" s="120">
        <f>IFERROR(IF(C15=INDEX(Worksheet!$M$9:$M$25,MATCH(C15,Worksheet!$M$9:$M$25,0)),SUM(D15:H15),""),"")</f>
        <v>0</v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Christmas Break</v>
      </c>
      <c r="C16" s="118">
        <f t="shared" si="1"/>
        <v>45652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Christmas Break</v>
      </c>
      <c r="C17" s="118">
        <f t="shared" si="1"/>
        <v>45653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Christmas Break</v>
      </c>
      <c r="C18" s="118">
        <f t="shared" si="1"/>
        <v>45654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 t="str">
        <f>IF(C19="","",IFERROR(INDEX(Table7[Holidays],MATCH(C19,Table7[Date],0)),C19))</f>
        <v>Christmas Break</v>
      </c>
      <c r="C19" s="118">
        <f t="shared" si="1"/>
        <v>45655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 t="str">
        <f>IF(C20="","",IFERROR(INDEX(Table7[Holidays],MATCH(C20,Table7[Date],0)),C20))</f>
        <v>Christmas Break</v>
      </c>
      <c r="C20" s="118">
        <f t="shared" si="1"/>
        <v>45656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 t="str">
        <f>IF(C21="","",IFERROR(INDEX(Table7[Holidays],MATCH(C21,Table7[Date],0)),C21))</f>
        <v>Christmas Break</v>
      </c>
      <c r="C21" s="118">
        <f t="shared" si="1"/>
        <v>45657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 t="str">
        <f>IF(C22="","",IFERROR(INDEX(Table7[Holidays],MATCH(C22,Table7[Date],0)),C22))</f>
        <v>New Year's Day</v>
      </c>
      <c r="C22" s="118">
        <f t="shared" si="1"/>
        <v>45658</v>
      </c>
      <c r="D22" s="119"/>
      <c r="E22" s="119"/>
      <c r="F22" s="119"/>
      <c r="G22" s="119"/>
      <c r="H22" s="119"/>
      <c r="I22" s="119"/>
      <c r="J22" s="119"/>
      <c r="K22" s="119"/>
      <c r="L22" s="120">
        <f>IFERROR(IF(C22=INDEX(Worksheet!$M$9:$M$25,MATCH(C22,Worksheet!$M$9:$M$25,0)),SUM(D22:H22),""),"")</f>
        <v>0</v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45659</v>
      </c>
      <c r="C23" s="118">
        <f t="shared" si="1"/>
        <v>45659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45660</v>
      </c>
      <c r="C24" s="118">
        <f t="shared" si="1"/>
        <v>45660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45661</v>
      </c>
      <c r="C25" s="118">
        <f t="shared" si="1"/>
        <v>45661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45662</v>
      </c>
      <c r="C26" s="118">
        <f t="shared" si="1"/>
        <v>45662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45663</v>
      </c>
      <c r="C27" s="118">
        <f t="shared" si="1"/>
        <v>45663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45664</v>
      </c>
      <c r="C28" s="118">
        <f t="shared" si="1"/>
        <v>45664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45665</v>
      </c>
      <c r="C29" s="118">
        <f t="shared" si="1"/>
        <v>45665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45666</v>
      </c>
      <c r="C30" s="118">
        <f t="shared" si="1"/>
        <v>45666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45667</v>
      </c>
      <c r="C31" s="118">
        <f t="shared" si="1"/>
        <v>45667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45668</v>
      </c>
      <c r="C32" s="118">
        <f t="shared" si="1"/>
        <v>45668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45669</v>
      </c>
      <c r="C33" s="118">
        <f t="shared" si="1"/>
        <v>45669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45670</v>
      </c>
      <c r="C34" s="118">
        <f t="shared" si="1"/>
        <v>45670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45671</v>
      </c>
      <c r="C35" s="118">
        <f t="shared" si="1"/>
        <v>45671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45672</v>
      </c>
      <c r="C36" s="118">
        <f>IF(C34="","",IF(DAY(C35+1)=DAY(C6),"",C35+1))</f>
        <v>45672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59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59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59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154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59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59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154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59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59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60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60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x14ac:dyDescent="0.2">
      <c r="A50" s="96"/>
      <c r="B50" s="60" t="s">
        <v>12</v>
      </c>
      <c r="C50" s="84"/>
      <c r="F50" s="85">
        <f>'Nov-Dec'!F55</f>
        <v>0</v>
      </c>
      <c r="H50" s="100">
        <f>'Nov-Dec'!H55</f>
        <v>0</v>
      </c>
      <c r="I50" s="98"/>
      <c r="J50" s="98"/>
      <c r="K50" s="98"/>
      <c r="L50" s="99"/>
      <c r="M50" s="100">
        <f>'Nov-Dec'!M55</f>
        <v>0</v>
      </c>
      <c r="N50" s="84"/>
    </row>
    <row r="51" spans="1:15" s="85" customFormat="1" x14ac:dyDescent="0.2">
      <c r="A51" s="96"/>
      <c r="B51" s="60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60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60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60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60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60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60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60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60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B60" s="58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B61" s="58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B62" s="58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B63" s="58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B64" s="58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8"/>
      <c r="H65" s="100"/>
      <c r="I65" s="100"/>
      <c r="J65" s="100"/>
      <c r="K65" s="100"/>
      <c r="L65" s="100"/>
      <c r="M65" s="100"/>
      <c r="O65" s="150"/>
    </row>
    <row r="66" spans="1:15" x14ac:dyDescent="0.2">
      <c r="I66" s="100"/>
      <c r="J66" s="100"/>
      <c r="K66" s="100"/>
      <c r="L66" s="144"/>
      <c r="M66" s="144"/>
      <c r="N66" s="57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32" priority="396" operator="between">
      <formula>0</formula>
      <formula>0</formula>
    </cfRule>
  </conditionalFormatting>
  <conditionalFormatting sqref="M6:M36">
    <cfRule type="cellIs" dxfId="33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745BD5A-DC30-4837-BAE5-321341988B08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F686D49-2215-4132-8098-1E7CA17EA52E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89356B71-A297-4432-AF02-131E44E657D1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B446E999-FC1A-4FAC-8906-11754A33B169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0B7FBA95-43AC-4952-A1F2-FDAE2B379763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DFEAEBF6-59B2-48DA-BC44-601261B5988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397" stopIfTrue="1" id="{6F153D59-08B8-4DA6-B85A-84CCA7488FF2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909752E6-991D-425C-8D25-1705C08929A9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E90213F8-1562-4396-BF40-80BB388974AF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B519252-6F6A-4925-9D9E-AA55276C29D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498B408-64A7-42CA-AF86-6CBA8C4F65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398" stopIfTrue="1" id="{006BED15-7BFE-43F2-937E-23AD6BA8DEE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399" id="{5EA4EBA9-2F3E-40A0-9F78-CC89CCF56B4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DF69D23-E612-4462-BD86-7E5F2483DF47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822884F4-2174-4E1D-B886-3F24A070925A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E776635-CF9D-4CC3-9B3B-C61886E1C7AC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FCED3B3D-1D81-4DBE-A416-9783BD536E84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5249EC45-9C7C-4394-993D-F924AA1029E6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400" stopIfTrue="1" id="{6DF06902-2359-4AC5-B4B7-5D9D13A5D2C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E473D92E-8EC2-4EA0-86C6-0EAAF17D78EF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AEC11FF4-11C0-4D84-AD6C-EABC1DADD512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87C36593-E432-4751-8992-7DDCA608A429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07DDB67B-7C54-4AD0-8E1E-AA13C9E61D3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3C7E13D-5120-48DE-B0BD-ECFBBA0FD963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574E5318-D629-4683-9FFB-72486C7CB19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401" stopIfTrue="1" id="{B0D2BB51-5A32-47CA-B3CF-B89B3D63B185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A53459EA-6E81-4BD0-86D0-E76F2F9841A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3B88E957-E2EB-4089-B478-DD97FD5A4A8D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4A50CEE5-2069-43DA-8D4C-E67609199096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January 16 - February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'Dec-Jan'!C36+1</f>
        <v>45673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45674</v>
      </c>
      <c r="C7" s="118">
        <f>C6+1</f>
        <v>45674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45675</v>
      </c>
      <c r="C8" s="118">
        <f t="shared" ref="C8:C35" si="1">C7+1</f>
        <v>45675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45676</v>
      </c>
      <c r="C9" s="118">
        <f t="shared" si="1"/>
        <v>45676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 t="str">
        <f>IF(C10="","",IFERROR(INDEX(Table7[Holidays],MATCH(C10,Table7[Date],0)),C10))</f>
        <v>MLK Jr. Day</v>
      </c>
      <c r="C10" s="118">
        <f t="shared" si="1"/>
        <v>45677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45678</v>
      </c>
      <c r="C11" s="118">
        <f t="shared" si="1"/>
        <v>45678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45679</v>
      </c>
      <c r="C12" s="118">
        <f t="shared" si="1"/>
        <v>45679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45680</v>
      </c>
      <c r="C13" s="118">
        <f t="shared" si="1"/>
        <v>45680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Payday</v>
      </c>
      <c r="C14" s="118">
        <f t="shared" si="1"/>
        <v>45681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>
        <f>IF(C15="","",IFERROR(INDEX(Table7[Holidays],MATCH(C15,Table7[Date],0)),C15))</f>
        <v>45682</v>
      </c>
      <c r="C15" s="118">
        <f t="shared" si="1"/>
        <v>45682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45683</v>
      </c>
      <c r="C16" s="118">
        <f t="shared" si="1"/>
        <v>45683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45684</v>
      </c>
      <c r="C17" s="118">
        <f t="shared" si="1"/>
        <v>45684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45685</v>
      </c>
      <c r="C18" s="118">
        <f t="shared" si="1"/>
        <v>45685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45686</v>
      </c>
      <c r="C19" s="118">
        <f t="shared" si="1"/>
        <v>45686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45687</v>
      </c>
      <c r="C20" s="118">
        <f t="shared" si="1"/>
        <v>45687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45688</v>
      </c>
      <c r="C21" s="118">
        <f t="shared" si="1"/>
        <v>45688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45689</v>
      </c>
      <c r="C22" s="118">
        <f t="shared" si="1"/>
        <v>45689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45690</v>
      </c>
      <c r="C23" s="118">
        <f t="shared" si="1"/>
        <v>45690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45691</v>
      </c>
      <c r="C24" s="118">
        <f t="shared" si="1"/>
        <v>45691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45692</v>
      </c>
      <c r="C25" s="118">
        <f t="shared" si="1"/>
        <v>45692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45693</v>
      </c>
      <c r="C26" s="118">
        <f t="shared" si="1"/>
        <v>45693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45694</v>
      </c>
      <c r="C27" s="118">
        <f t="shared" si="1"/>
        <v>45694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45695</v>
      </c>
      <c r="C28" s="118">
        <f t="shared" si="1"/>
        <v>45695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45696</v>
      </c>
      <c r="C29" s="118">
        <f t="shared" si="1"/>
        <v>45696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45697</v>
      </c>
      <c r="C30" s="118">
        <f t="shared" si="1"/>
        <v>45697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45698</v>
      </c>
      <c r="C31" s="118">
        <f t="shared" si="1"/>
        <v>45698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45699</v>
      </c>
      <c r="C32" s="118">
        <f t="shared" si="1"/>
        <v>45699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45700</v>
      </c>
      <c r="C33" s="118">
        <f t="shared" si="1"/>
        <v>45700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45701</v>
      </c>
      <c r="C34" s="118">
        <f t="shared" si="1"/>
        <v>45701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45702</v>
      </c>
      <c r="C35" s="118">
        <f t="shared" si="1"/>
        <v>45702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45703</v>
      </c>
      <c r="C36" s="118">
        <f>IF(C34="","",IF(DAY(C35+1)=DAY(C6),"",C35+1))</f>
        <v>45703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152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'Dec-Jan'!M55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302" priority="153" operator="between">
      <formula>0</formula>
      <formula>0</formula>
    </cfRule>
  </conditionalFormatting>
  <conditionalFormatting sqref="M6:M36">
    <cfRule type="cellIs" dxfId="30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6DBC66BF-31B0-43BF-BADD-3A9A172192B3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D089D68-E9C7-4B7A-A8F4-CAEB1AF35285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BB7AC2F5-6966-43FE-903C-BC49FFE9A2C3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9D9986C2-D9C8-4C3C-B447-4693C8FE4275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CA8D0531-5B51-48C9-B89D-EA668DF05946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B12A4F-F142-40CC-93AF-5F1503FACBB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4" stopIfTrue="1" id="{87505702-2E9A-4C9F-9CB5-6B20605F3AC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0639E47C-AF68-4D44-8655-C9E11C8CD0D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3F8D845C-561E-4EAA-9F6C-6686A424D2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4BF4C8F0-9378-4C9F-A9A5-3D997DA1DF9E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37923B7F-2A58-4374-BA1A-60781737D32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5" stopIfTrue="1" id="{E307491F-1158-4555-896D-65CE2DF2DD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6" id="{8514F67A-C3DE-479E-850F-F7BC2A1D0460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814078C8-A852-4D5E-BA2F-CE25ED9BD635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1735FF4-FC58-4B68-8800-B6AEDC83066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037DD609-862A-4A60-9AC6-A6A587B015C9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FFD6117-47FF-40F9-943E-760006D1EC2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F363FC6A-A90D-4793-9865-B5BB490DCD9D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7" stopIfTrue="1" id="{2ACCE7E9-DD2B-4D55-B150-86E0D3BE927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B8A48-0BAE-4C47-AD0D-9335B80EE053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964C0D0-AC64-434C-96E8-A468F620DF83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2354AC55-4056-4B65-8F04-F8D5B2C371CB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B47EA813-B561-485B-8241-7408B024FAC3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F7897930-E7B7-4EE5-BC10-EA7AC6C1FBA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869C856B-2378-4E50-BE11-A697D844936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8" stopIfTrue="1" id="{D2537F2B-08BF-4511-809B-C0380C80ECE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1E0E62-91BE-4FEC-B463-163BDC676B6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190D5D73-3096-417F-A553-AF42BB94A13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32E44942-E439-49DB-88DF-7A5D1374C6CB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O69"/>
  <sheetViews>
    <sheetView topLeftCell="A4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"&amp;IF(MONTH(DATE(YEAR(C6),2,29)),TEXT(C33,"mmm d"),TEXT(C34,"mmm d"))&amp;", "&amp;Worksheet!C1</f>
        <v>February 16 - Mar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45704</v>
      </c>
      <c r="C6" s="118">
        <f>'Jan-Feb'!C36+1</f>
        <v>45704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President's Day</v>
      </c>
      <c r="C7" s="118">
        <f>C6+1</f>
        <v>45705</v>
      </c>
      <c r="D7" s="119"/>
      <c r="E7" s="119"/>
      <c r="F7" s="119"/>
      <c r="G7" s="119"/>
      <c r="H7" s="119"/>
      <c r="I7" s="119"/>
      <c r="J7" s="119"/>
      <c r="K7" s="119"/>
      <c r="L7" s="120">
        <f>IFERROR(IF(C7=INDEX(Worksheet!$M$9:$M$25,MATCH(C7,Worksheet!$M$9:$M$25,0)),SUM(D7:H7),""),"")</f>
        <v>0</v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 t="str">
        <f>IF(C8="","",IFERROR(INDEX(Table7[Holidays],MATCH(C8,Table7[Date],0)),C8))</f>
        <v>Timesheet Due</v>
      </c>
      <c r="C8" s="118">
        <f t="shared" ref="C8:C33" si="1">C7+1</f>
        <v>45706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45707</v>
      </c>
      <c r="C9" s="118">
        <f t="shared" si="1"/>
        <v>45707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45708</v>
      </c>
      <c r="C10" s="118">
        <f t="shared" si="1"/>
        <v>45708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45709</v>
      </c>
      <c r="C11" s="118">
        <f t="shared" si="1"/>
        <v>45709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45710</v>
      </c>
      <c r="C12" s="118">
        <f t="shared" si="1"/>
        <v>45710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45711</v>
      </c>
      <c r="C13" s="118">
        <f t="shared" si="1"/>
        <v>45711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45712</v>
      </c>
      <c r="C14" s="118">
        <f t="shared" si="1"/>
        <v>45712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45713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45714</v>
      </c>
      <c r="C16" s="118">
        <f t="shared" si="1"/>
        <v>45714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45715</v>
      </c>
      <c r="C17" s="118">
        <f t="shared" si="1"/>
        <v>45715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45716</v>
      </c>
      <c r="C18" s="118">
        <f t="shared" si="1"/>
        <v>45716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45717</v>
      </c>
      <c r="C19" s="118">
        <f t="shared" si="1"/>
        <v>45717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45718</v>
      </c>
      <c r="C20" s="118">
        <f t="shared" si="1"/>
        <v>45718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45719</v>
      </c>
      <c r="C21" s="118">
        <f t="shared" si="1"/>
        <v>45719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45720</v>
      </c>
      <c r="C22" s="118">
        <f t="shared" si="1"/>
        <v>45720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45721</v>
      </c>
      <c r="C23" s="118">
        <f t="shared" si="1"/>
        <v>45721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45722</v>
      </c>
      <c r="C24" s="118">
        <f t="shared" si="1"/>
        <v>45722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45723</v>
      </c>
      <c r="C25" s="118">
        <f t="shared" si="1"/>
        <v>45723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45724</v>
      </c>
      <c r="C26" s="118">
        <f t="shared" si="1"/>
        <v>45724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45725</v>
      </c>
      <c r="C27" s="118">
        <f t="shared" si="1"/>
        <v>45725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45726</v>
      </c>
      <c r="C28" s="118">
        <f t="shared" si="1"/>
        <v>45726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45727</v>
      </c>
      <c r="C29" s="118">
        <f t="shared" si="1"/>
        <v>45727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45728</v>
      </c>
      <c r="C30" s="118">
        <f t="shared" si="1"/>
        <v>45728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45729</v>
      </c>
      <c r="C31" s="118">
        <f t="shared" si="1"/>
        <v>45729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45730</v>
      </c>
      <c r="C32" s="118">
        <f t="shared" si="1"/>
        <v>45730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45731</v>
      </c>
      <c r="C33" s="118">
        <f t="shared" si="1"/>
        <v>45731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hidden="1" x14ac:dyDescent="0.2">
      <c r="B34" s="80" t="str">
        <f>IF(C34="","",IFERROR(INDEX(Table7[Holidays],MATCH(C34,Table7[Date],0)),C34))</f>
        <v/>
      </c>
      <c r="C34" s="118" t="str">
        <f>IF(MONTH(DATE(YEAR(C33),2,29))=2,SUM(C33+1),"")</f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hidden="1" x14ac:dyDescent="0.2">
      <c r="B35" s="80" t="str">
        <f>IF(C35="","",IFERROR(INDEX(Table7[Holidays],MATCH(C35,Table7[Date],0)),C35))</f>
        <v/>
      </c>
      <c r="C35" s="118"/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8"/>
      <c r="F38" s="138"/>
      <c r="G38" s="138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2"/>
      <c r="C42" s="89"/>
      <c r="D42" s="89"/>
      <c r="E42" s="89"/>
      <c r="F42" s="89"/>
      <c r="G42" s="89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9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'Jan-Feb'!M55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SUMIF($C$6:$C$34,"&lt;="&amp;$C$6+(7-WEEKDAY($C$6))+(RIGHT($B51,1)*7)-7,$I$6:$I$34)-SUM(I$50:I50)</f>
        <v>0</v>
      </c>
      <c r="J51" s="100">
        <f>SUMIF($C$6:$C$34,"&lt;="&amp;$C$6+(7-WEEKDAY($C$6))+(RIGHT($B51,1)*7)-7,$J$6:$J$34)-SUM(J$50:J50)</f>
        <v>0</v>
      </c>
      <c r="K51" s="100">
        <f>SUMIF($C$6:$C$34,"&lt;="&amp;$C$6+(7-WEEKDAY($C$6))+(RIGHT($B51,1)*7)-7,$K$6:$K$34)-SUM(K$50:K50)</f>
        <v>0</v>
      </c>
      <c r="L51" s="150">
        <f>SUMIF($C$6:$C$34,"&lt;="&amp;$C$6+(7-WEEKDAY($C$6))+(RIGHT($B51,1)*7)-7,$L$6:$L$34)-SUM(L$50:L50)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SUMIF($C$6:$C$34,"&lt;="&amp;$C$6+(7-WEEKDAY($C$6))+(RIGHT($B52,1)*7)-7,$I$6:$I$34)-SUM(I$50:I51)</f>
        <v>0</v>
      </c>
      <c r="J52" s="100">
        <f>SUMIF($C$6:$C$34,"&lt;="&amp;$C$6+(7-WEEKDAY($C$6))+(RIGHT($B52,1)*7)-7,$J$6:$J$34)-SUM(J$50:J51)</f>
        <v>0</v>
      </c>
      <c r="K52" s="100">
        <f>SUMIF($C$6:$C$34,"&lt;="&amp;$C$6+(7-WEEKDAY($C$6))+(RIGHT($B52,1)*7)-7,$K$6:$K$34)-SUM(K$50:K51)</f>
        <v>0</v>
      </c>
      <c r="L52" s="150">
        <f>SUMIF($C$6:$C$34,"&lt;="&amp;$C$6+(7-WEEKDAY($C$6))+(RIGHT($B52,1)*7)-7,$L$6:$L$34)-SUM(L$50:L51)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SUMIF($C$6:$C$34,"&lt;="&amp;$C$6+(7-WEEKDAY($C$6))+(RIGHT($B53,1)*7)-7,$I$6:$I$34)-SUM(I$50:I52)</f>
        <v>0</v>
      </c>
      <c r="J53" s="100">
        <f>SUMIF($C$6:$C$34,"&lt;="&amp;$C$6+(7-WEEKDAY($C$6))+(RIGHT($B53,1)*7)-7,$J$6:$J$34)-SUM(J$50:J52)</f>
        <v>0</v>
      </c>
      <c r="K53" s="100">
        <f>SUMIF($C$6:$C$34,"&lt;="&amp;$C$6+(7-WEEKDAY($C$6))+(RIGHT($B53,1)*7)-7,$K$6:$K$34)-SUM(K$50:K52)</f>
        <v>0</v>
      </c>
      <c r="L53" s="150">
        <f>SUMIF($C$6:$C$34,"&lt;="&amp;$C$6+(7-WEEKDAY($C$6))+(RIGHT($B53,1)*7)-7,$L$6:$L$34)-SUM(L$50:L52)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SUMIF($C$6:$C$34,"&lt;="&amp;$C$6+(7-WEEKDAY($C$6))+(RIGHT($B54,1)*7)-7,$I$6:$I$34)-SUM(I$50:I53)</f>
        <v>0</v>
      </c>
      <c r="J54" s="100">
        <f>SUMIF($C$6:$C$34,"&lt;="&amp;$C$6+(7-WEEKDAY($C$6))+(RIGHT($B54,1)*7)-7,$J$6:$J$34)-SUM(J$50:J53)</f>
        <v>0</v>
      </c>
      <c r="K54" s="100">
        <f>SUMIF($C$6:$C$34,"&lt;="&amp;$C$6+(7-WEEKDAY($C$6))+(RIGHT($B54,1)*7)-7,$K$6:$K$34)-SUM(K$50:K53)</f>
        <v>0</v>
      </c>
      <c r="L54" s="150">
        <f>SUMIF($C$6:$C$34,"&lt;="&amp;$C$6+(7-WEEKDAY($C$6))+(RIGHT($B54,1)*7)-7,$L$6:$L$34)-SUM(L$50:L53)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SUMIF($C$6:$C$34,"&lt;="&amp;$C$6+(7-WEEKDAY($C$6))+(RIGHT($B55,1)*7)-7,$I$6:$I$34)-SUM(I$50:I54)</f>
        <v>0</v>
      </c>
      <c r="J55" s="100">
        <f>SUMIF($C$6:$C$34,"&lt;="&amp;$C$6+(7-WEEKDAY($C$6))+(RIGHT($B55,1)*7)-7,$J$6:$J$34)-SUM(J$50:J54)</f>
        <v>0</v>
      </c>
      <c r="K55" s="100">
        <f>SUMIF($C$6:$C$34,"&lt;="&amp;$C$6+(7-WEEKDAY($C$6))+(RIGHT($B55,1)*7)-7,$K$6:$K$34)-SUM(K$50:K54)</f>
        <v>0</v>
      </c>
      <c r="L55" s="150">
        <f>SUMIF($C$6:$C$34,"&lt;="&amp;$C$6+(7-WEEKDAY($C$6))+(RIGHT($B55,1)*7)-7,$L$6:$L$34)-SUM(L$50:L54)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2:G42">
    <cfRule type="cellIs" dxfId="272" priority="169" operator="between">
      <formula>0</formula>
      <formula>0</formula>
    </cfRule>
  </conditionalFormatting>
  <conditionalFormatting sqref="M6:M36">
    <cfRule type="cellIs" dxfId="27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A6F97D6C-00C4-4017-9F73-08CD1791DB69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7850AC11-6B5D-44B3-B85B-173D4CDED0F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924AF919-13EF-43CF-A2AE-9BF708964D7D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1623C65E-043B-478B-B2DF-1B78073A7427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2CF2878-CDC9-498C-92E7-7A9E9FEAAC25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E4A7820-51B8-4D95-8089-0EA888AB830A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70" stopIfTrue="1" id="{767DC53C-9215-4B77-A2F8-BFB9C896FC7E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693FB51D-353B-4EA1-913E-33517C12BE4B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A43D50A3-9232-48E2-BEBC-7D66D76AF66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9D4C88B5-870B-4FB7-AC08-8931DFDE8775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7FA39636-E92F-494D-A305-CC62FD6D72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71" stopIfTrue="1" id="{70082399-69CA-4145-8CB8-DCEC5515225F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72" id="{97F42294-1658-4C51-887B-F5C19FA2966D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718B7B2E-4779-4B81-B9D4-C115124B3A92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49B0A036-0BC8-495C-9634-B80D68BE343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A412AF5B-2837-4B3E-BC05-E7AAB3594B9A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7639B0CD-3DBB-4D96-B67E-7952F00B72B6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A0A19BB-1A47-4F74-A01A-A20BC22EED62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73" stopIfTrue="1" id="{6B7B1AAF-F6C1-4698-9B7B-9CEA7C9A7E5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1589445-F6E9-443D-894E-DA338FEF640E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7294E7D7-A2E5-414D-9396-620457B3AD05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BFCF3799-ED9A-4185-B37B-FE3600CC9A3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17458EB1-F90D-4258-85CC-FC181F8C6C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910B7E73-D2E7-4F93-97B5-237AB59F1E01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22C08941-3EF9-44E8-B545-BBF056C4BAF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74" stopIfTrue="1" id="{4718B6CA-BEEA-47AA-B623-7BEBF18684C9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38AD897-0A8D-434D-A2C2-E20543CE4A7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2BF63057-D376-4A47-B9BC-715116431EEB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FBB260E-504D-4463-9F20-D4994BD957B2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March 16 - April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45732</v>
      </c>
      <c r="C6" s="118">
        <f>IF(MONTH(DATE(YEAR('Feb-Mar'!C6),2,29))=2,SUM('Feb-Mar'!C34+1),SUM('Feb-Mar'!C33+1))</f>
        <v>45732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 t="str">
        <f>IF(C7="","",IFERROR(INDEX(Table7[Holidays],MATCH(C7,Table7[Date],0)),C7))</f>
        <v>Timesheet Due</v>
      </c>
      <c r="C7" s="118">
        <f>C6+1</f>
        <v>45733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45734</v>
      </c>
      <c r="C8" s="118">
        <f t="shared" ref="C8:C35" si="1">C7+1</f>
        <v>45734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45735</v>
      </c>
      <c r="C9" s="118">
        <f t="shared" si="1"/>
        <v>45735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45736</v>
      </c>
      <c r="C10" s="118">
        <f t="shared" si="1"/>
        <v>45736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45737</v>
      </c>
      <c r="C11" s="118">
        <f t="shared" si="1"/>
        <v>45737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45738</v>
      </c>
      <c r="C12" s="118">
        <f t="shared" si="1"/>
        <v>45738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45739</v>
      </c>
      <c r="C13" s="118">
        <f t="shared" si="1"/>
        <v>45739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 t="str">
        <f>IF(C14="","",IFERROR(INDEX(Table7[Holidays],MATCH(C14,Table7[Date],0)),C14))</f>
        <v>Spring Break</v>
      </c>
      <c r="C14" s="118">
        <f t="shared" si="1"/>
        <v>45740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45741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 t="str">
        <f>IF(C16="","",IFERROR(INDEX(Table7[Holidays],MATCH(C16,Table7[Date],0)),C16))</f>
        <v>Spring Break</v>
      </c>
      <c r="C16" s="118">
        <f t="shared" si="1"/>
        <v>45742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 t="str">
        <f>IF(C17="","",IFERROR(INDEX(Table7[Holidays],MATCH(C17,Table7[Date],0)),C17))</f>
        <v>Spring Break</v>
      </c>
      <c r="C17" s="118">
        <f t="shared" si="1"/>
        <v>45743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 t="str">
        <f>IF(C18="","",IFERROR(INDEX(Table7[Holidays],MATCH(C18,Table7[Date],0)),C18))</f>
        <v>Spring Break</v>
      </c>
      <c r="C18" s="118">
        <f t="shared" si="1"/>
        <v>45744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45745</v>
      </c>
      <c r="C19" s="118">
        <f t="shared" si="1"/>
        <v>45745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45746</v>
      </c>
      <c r="C20" s="118">
        <f t="shared" si="1"/>
        <v>45746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45747</v>
      </c>
      <c r="C21" s="118">
        <f t="shared" si="1"/>
        <v>45747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45748</v>
      </c>
      <c r="C22" s="118">
        <f t="shared" si="1"/>
        <v>45748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45749</v>
      </c>
      <c r="C23" s="118">
        <f t="shared" si="1"/>
        <v>45749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45750</v>
      </c>
      <c r="C24" s="118">
        <f t="shared" si="1"/>
        <v>45750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45751</v>
      </c>
      <c r="C25" s="118">
        <f t="shared" si="1"/>
        <v>45751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45752</v>
      </c>
      <c r="C26" s="118">
        <f t="shared" si="1"/>
        <v>45752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45753</v>
      </c>
      <c r="C27" s="118">
        <f t="shared" si="1"/>
        <v>45753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45754</v>
      </c>
      <c r="C28" s="118">
        <f t="shared" si="1"/>
        <v>45754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45755</v>
      </c>
      <c r="C29" s="118">
        <f t="shared" si="1"/>
        <v>45755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45756</v>
      </c>
      <c r="C30" s="118">
        <f t="shared" si="1"/>
        <v>45756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45757</v>
      </c>
      <c r="C31" s="118">
        <f t="shared" si="1"/>
        <v>45757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45758</v>
      </c>
      <c r="C32" s="118">
        <f t="shared" si="1"/>
        <v>45758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45759</v>
      </c>
      <c r="C33" s="118">
        <f t="shared" si="1"/>
        <v>45759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45760</v>
      </c>
      <c r="C34" s="118">
        <f t="shared" si="1"/>
        <v>45760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45761</v>
      </c>
      <c r="C35" s="118">
        <f t="shared" si="1"/>
        <v>45761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x14ac:dyDescent="0.2">
      <c r="B36" s="80">
        <f>IF(C36="","",IFERROR(INDEX(Table7[Holidays],MATCH(C36,Table7[Date],0)),C36))</f>
        <v>45762</v>
      </c>
      <c r="C36" s="118">
        <f>IF(C34="","",IF(DAY(C35+1)=DAY(C6),"",C35+1))</f>
        <v>45762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2"/>
      <c r="L40" s="142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9"/>
      <c r="D43" s="89"/>
      <c r="E43" s="89"/>
      <c r="F43" s="89"/>
      <c r="G43" s="89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/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H65" s="100"/>
      <c r="I65" s="100"/>
      <c r="J65" s="100"/>
      <c r="K65" s="100"/>
      <c r="L65" s="100"/>
      <c r="M65" s="100"/>
      <c r="O65" s="150"/>
    </row>
    <row r="66" spans="1:15" s="85" customFormat="1" x14ac:dyDescent="0.2">
      <c r="A66" s="96"/>
      <c r="H66" s="100"/>
      <c r="I66" s="100"/>
      <c r="J66" s="100"/>
      <c r="K66" s="100"/>
      <c r="L66" s="100"/>
      <c r="M66" s="100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C41:L41"/>
    <mergeCell ref="B2:O2"/>
    <mergeCell ref="B1:O1"/>
    <mergeCell ref="B4:O4"/>
    <mergeCell ref="B3:O3"/>
  </mergeCells>
  <conditionalFormatting sqref="C43">
    <cfRule type="cellIs" dxfId="242" priority="154" operator="between">
      <formula>0</formula>
      <formula>0</formula>
    </cfRule>
  </conditionalFormatting>
  <conditionalFormatting sqref="M6:M36">
    <cfRule type="cellIs" dxfId="241" priority="23" stopIfTrue="1" operator="between">
      <formula>0</formula>
      <formula>0</formula>
    </cfRule>
  </conditionalFormatting>
  <dataValidations disablePrompts="1" count="1">
    <dataValidation type="list" allowBlank="1" showInputMessage="1" showErrorMessage="1" sqref="C41:L41" xr:uid="{BC908459-B8DC-4EF2-8C41-B4BC805B87E4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5B2A05B-5B47-4082-A4B2-CE9EF23F95AC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A9F44E0D-73CE-4FDE-A831-A3CC2784AB3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287C0DCC-68B9-4321-9312-104BC0AF3404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AAA30271-C6D5-48AE-AEC5-38F1E1B8BF2B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1D5AE3A0-8FFF-4AE4-B7FE-1B5E4A2EF729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5" stopIfTrue="1" id="{186022AF-DE11-4C42-B2A7-DF048B3AACDC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7991875F-9B39-4325-B9D0-3B8EF09B202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412AD28C-E809-4174-9C9A-0203E68034E4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35054842-214B-4ACF-A63E-E563274AABD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8788AFB6-B6DA-45AA-93DD-1132B2CC1A3A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6" stopIfTrue="1" id="{D218FF62-5523-45F3-A0A4-38FCE8B21CE8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7" id="{BB4554D4-B5DE-42AB-9164-17833427356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6B408791-B551-442A-969F-E3AA8F55FB7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087F3564-9089-4ADD-A5C1-268BD3BD9C38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24A6B95E-0E28-4B9D-9AE8-EDFB6FD98017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26BF07CC-F450-4A2E-B187-6588486C267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1DD1F08C-8EEA-4F9E-9FDB-F03BD0937AAE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8" stopIfTrue="1" id="{2D6F04A2-7A54-4374-8957-445A12899526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7B815491-A991-4B4D-B6D9-1113D998536A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E3843C45-08E8-4583-9A27-EAB5EA33B76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1C89F421-4CEB-4B79-BA2F-614D9D3E6775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80EF05FC-B391-475C-8804-7270D0F8AB68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61DE0D16-62F8-463A-8D5C-BF3067BEE9CF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E5D98E4E-B4C4-456F-A0B2-95C1E7850A3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9" stopIfTrue="1" id="{D1FE5452-C00B-4417-912E-AFAEBD6A9C16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0768C30-639E-4A21-9130-A11FFD3289BE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AC553F3E-E153-45D8-A0FA-4947116F0481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93D755FF-9ADF-4932-A7A3-975143ACA8E5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"&amp;TEXT(C35,"mmmm d")&amp;", "&amp;Worksheet!C1</f>
        <v>April 16 - May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A5" s="54"/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'Mar-Apr'!C36+1</f>
        <v>45763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123"/>
      <c r="B7" s="80">
        <f>IF(C7="","",IFERROR(INDEX(Table7[Holidays],MATCH(C7,Table7[Date],0)),C7))</f>
        <v>45764</v>
      </c>
      <c r="C7" s="118">
        <f>C6+1</f>
        <v>45764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A8" s="126"/>
      <c r="B8" s="80">
        <f>IF(C8="","",IFERROR(INDEX(Table7[Holidays],MATCH(C8,Table7[Date],0)),C8))</f>
        <v>45765</v>
      </c>
      <c r="C8" s="118">
        <f t="shared" ref="C8:C35" si="1">C7+1</f>
        <v>45765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6"/>
      <c r="B9" s="80">
        <f>IF(C9="","",IFERROR(INDEX(Table7[Holidays],MATCH(C9,Table7[Date],0)),C9))</f>
        <v>45766</v>
      </c>
      <c r="C9" s="118">
        <f t="shared" si="1"/>
        <v>45766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B10" s="80">
        <f>IF(C10="","",IFERROR(INDEX(Table7[Holidays],MATCH(C10,Table7[Date],0)),C10))</f>
        <v>45767</v>
      </c>
      <c r="C10" s="118">
        <f t="shared" si="1"/>
        <v>45767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B11" s="80">
        <f>IF(C11="","",IFERROR(INDEX(Table7[Holidays],MATCH(C11,Table7[Date],0)),C11))</f>
        <v>45768</v>
      </c>
      <c r="C11" s="118">
        <f t="shared" si="1"/>
        <v>45768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45769</v>
      </c>
      <c r="C12" s="118">
        <f t="shared" si="1"/>
        <v>45769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45770</v>
      </c>
      <c r="C13" s="118">
        <f t="shared" si="1"/>
        <v>45770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A14" s="123"/>
      <c r="B14" s="80">
        <f>IF(C14="","",IFERROR(INDEX(Table7[Holidays],MATCH(C14,Table7[Date],0)),C14))</f>
        <v>45771</v>
      </c>
      <c r="C14" s="118">
        <f t="shared" si="1"/>
        <v>45771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A15" s="126"/>
      <c r="B15" s="80" t="str">
        <f>IF(C15="","",IFERROR(INDEX(Table7[Holidays],MATCH(C15,Table7[Date],0)),C15))</f>
        <v>Payday</v>
      </c>
      <c r="C15" s="118">
        <f t="shared" si="1"/>
        <v>45772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6"/>
      <c r="B16" s="80">
        <f>IF(C16="","",IFERROR(INDEX(Table7[Holidays],MATCH(C16,Table7[Date],0)),C16))</f>
        <v>45773</v>
      </c>
      <c r="C16" s="118">
        <f t="shared" si="1"/>
        <v>45773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B17" s="80">
        <f>IF(C17="","",IFERROR(INDEX(Table7[Holidays],MATCH(C17,Table7[Date],0)),C17))</f>
        <v>45774</v>
      </c>
      <c r="C17" s="118">
        <f t="shared" si="1"/>
        <v>45774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B18" s="80">
        <f>IF(C18="","",IFERROR(INDEX(Table7[Holidays],MATCH(C18,Table7[Date],0)),C18))</f>
        <v>45775</v>
      </c>
      <c r="C18" s="118">
        <f t="shared" si="1"/>
        <v>45775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45776</v>
      </c>
      <c r="C19" s="118">
        <f t="shared" si="1"/>
        <v>45776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45777</v>
      </c>
      <c r="C20" s="118">
        <f t="shared" si="1"/>
        <v>45777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A21" s="123"/>
      <c r="B21" s="80">
        <f>IF(C21="","",IFERROR(INDEX(Table7[Holidays],MATCH(C21,Table7[Date],0)),C21))</f>
        <v>45778</v>
      </c>
      <c r="C21" s="118">
        <f t="shared" si="1"/>
        <v>45778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A22" s="126"/>
      <c r="B22" s="80">
        <f>IF(C22="","",IFERROR(INDEX(Table7[Holidays],MATCH(C22,Table7[Date],0)),C22))</f>
        <v>45779</v>
      </c>
      <c r="C22" s="118">
        <f t="shared" si="1"/>
        <v>45779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6"/>
      <c r="B23" s="80">
        <f>IF(C23="","",IFERROR(INDEX(Table7[Holidays],MATCH(C23,Table7[Date],0)),C23))</f>
        <v>45780</v>
      </c>
      <c r="C23" s="118">
        <f t="shared" si="1"/>
        <v>45780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B24" s="80">
        <f>IF(C24="","",IFERROR(INDEX(Table7[Holidays],MATCH(C24,Table7[Date],0)),C24))</f>
        <v>45781</v>
      </c>
      <c r="C24" s="118">
        <f t="shared" si="1"/>
        <v>45781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B25" s="80">
        <f>IF(C25="","",IFERROR(INDEX(Table7[Holidays],MATCH(C25,Table7[Date],0)),C25))</f>
        <v>45782</v>
      </c>
      <c r="C25" s="118">
        <f t="shared" si="1"/>
        <v>45782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45783</v>
      </c>
      <c r="C26" s="118">
        <f t="shared" si="1"/>
        <v>45783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A27" s="123"/>
      <c r="B27" s="80">
        <f>IF(C27="","",IFERROR(INDEX(Table7[Holidays],MATCH(C27,Table7[Date],0)),C27))</f>
        <v>45784</v>
      </c>
      <c r="C27" s="118">
        <f t="shared" si="1"/>
        <v>45784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A28" s="126"/>
      <c r="B28" s="80">
        <f>IF(C28="","",IFERROR(INDEX(Table7[Holidays],MATCH(C28,Table7[Date],0)),C28))</f>
        <v>45785</v>
      </c>
      <c r="C28" s="118">
        <f t="shared" si="1"/>
        <v>45785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6"/>
      <c r="B29" s="80">
        <f>IF(C29="","",IFERROR(INDEX(Table7[Holidays],MATCH(C29,Table7[Date],0)),C29))</f>
        <v>45786</v>
      </c>
      <c r="C29" s="118">
        <f t="shared" si="1"/>
        <v>45786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B30" s="80">
        <f>IF(C30="","",IFERROR(INDEX(Table7[Holidays],MATCH(C30,Table7[Date],0)),C30))</f>
        <v>45787</v>
      </c>
      <c r="C30" s="118">
        <f t="shared" si="1"/>
        <v>45787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B31" s="80">
        <f>IF(C31="","",IFERROR(INDEX(Table7[Holidays],MATCH(C31,Table7[Date],0)),C31))</f>
        <v>45788</v>
      </c>
      <c r="C31" s="118">
        <f t="shared" si="1"/>
        <v>45788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45789</v>
      </c>
      <c r="C32" s="118">
        <f t="shared" si="1"/>
        <v>45789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1:15" x14ac:dyDescent="0.2">
      <c r="B33" s="80">
        <f>IF(C33="","",IFERROR(INDEX(Table7[Holidays],MATCH(C33,Table7[Date],0)),C33))</f>
        <v>45790</v>
      </c>
      <c r="C33" s="118">
        <f t="shared" si="1"/>
        <v>45790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1:15" x14ac:dyDescent="0.2">
      <c r="B34" s="80">
        <f>IF(C34="","",IFERROR(INDEX(Table7[Holidays],MATCH(C34,Table7[Date],0)),C34))</f>
        <v>45791</v>
      </c>
      <c r="C34" s="118">
        <f t="shared" si="1"/>
        <v>45791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1:15" x14ac:dyDescent="0.2">
      <c r="B35" s="80">
        <f>IF(C35="","",IFERROR(INDEX(Table7[Holidays],MATCH(C35,Table7[Date],0)),C35))</f>
        <v>45792</v>
      </c>
      <c r="C35" s="118">
        <f t="shared" si="1"/>
        <v>45792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1:15" hidden="1" x14ac:dyDescent="0.2">
      <c r="B36" s="80" t="str">
        <f>IF(C36="","",IFERROR(INDEX(Table7[Holidays],MATCH(C36,Table7[Date],0)),C36))</f>
        <v/>
      </c>
      <c r="C36" s="118" t="str">
        <f>IF(C34="","",IF(DAY(C35+1)=DAY(C6),"",C35+1))</f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1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1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1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151"/>
      <c r="O39" s="89"/>
    </row>
    <row r="40" spans="1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89"/>
      <c r="N40" s="57"/>
      <c r="O40" s="57"/>
    </row>
    <row r="41" spans="1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1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1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1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1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1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1:15" hidden="1" x14ac:dyDescent="0.2">
      <c r="B47" s="83"/>
      <c r="C47" s="83"/>
      <c r="D47" s="136"/>
      <c r="E47" s="136"/>
      <c r="F47" s="137"/>
      <c r="G47" s="137"/>
      <c r="H47" s="140"/>
      <c r="I47" s="142"/>
      <c r="J47" s="140"/>
      <c r="K47" s="140"/>
      <c r="L47" s="140"/>
      <c r="M47" s="57"/>
      <c r="N47" s="57"/>
      <c r="O47" s="57"/>
    </row>
    <row r="48" spans="1:15" s="85" customFormat="1" hidden="1" x14ac:dyDescent="0.2">
      <c r="A48" s="96"/>
      <c r="B48" s="84"/>
      <c r="C48" s="84"/>
      <c r="H48" s="100"/>
      <c r="I48" s="100"/>
      <c r="J48" s="100"/>
      <c r="K48" s="100"/>
      <c r="L48" s="150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'Mar-Apr'!M55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SUMIF($C$6:$C$35,"&lt;="&amp;$C$6+(7-WEEKDAY($C$6))+(RIGHT(B51,1)*7)-7,$I$6:$I$35)-SUM(I50:I$50)</f>
        <v>0</v>
      </c>
      <c r="J51" s="100">
        <f>SUMIF($C$6:$C$35,"&lt;="&amp;$C$6+(7-WEEKDAY($C$6))+(RIGHT(B51,1)*7)-7,$J$6:$J$35)-SUM(J50:J$50)</f>
        <v>0</v>
      </c>
      <c r="K51" s="100">
        <f>SUMIF($C$6:$C$35,"&lt;="&amp;$C$6+(7-WEEKDAY($C$6))+(RIGHT(B51,1)*7)-7,$K$6:$K$35)-SUM(K50:K$50)</f>
        <v>0</v>
      </c>
      <c r="L51" s="150">
        <f>SUMIF($C$6:$C$35,"&lt;="&amp;$C$6+(7-WEEKDAY($C$6))+(RIGHT(C51,1)*7)-7,$L$6:$L$35)-SUM(L50:L$50)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SUMIF($C$6:$C$35,"&lt;="&amp;$C$6+(7-WEEKDAY($C$6))+(RIGHT(B52,1)*7)-7,$I$6:$I$35)-SUM(I$50:I51)</f>
        <v>0</v>
      </c>
      <c r="J52" s="100">
        <f>SUMIF($C$6:$C$35,"&lt;="&amp;$C$6+(7-WEEKDAY($C$6))+(RIGHT(B52,1)*7)-7,$J$6:$J$35)-SUM(J$50:J51)</f>
        <v>0</v>
      </c>
      <c r="K52" s="100">
        <f>SUMIF($C$6:$C$35,"&lt;="&amp;$C$6+(7-WEEKDAY($C$6))+(RIGHT(B52,1)*7)-7,$K$6:$K$35)-SUM(K$50:K51)</f>
        <v>0</v>
      </c>
      <c r="L52" s="150">
        <f>SUMIF($C$6:$C$35,"&lt;="&amp;$C$6+(7-WEEKDAY($C$6))+(RIGHT(C52,1)*7)-7,$L$6:$L$35)-SUM(L$50:L51)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SUMIF($C$6:$C$35,"&lt;="&amp;$C$6+(7-WEEKDAY($C$6))+(RIGHT(B53,1)*7)-7,$I$6:$I$35)-SUM(I$50:I52)</f>
        <v>0</v>
      </c>
      <c r="J53" s="100">
        <f>SUMIF($C$6:$C$35,"&lt;="&amp;$C$6+(7-WEEKDAY($C$6))+(RIGHT(B53,1)*7)-7,$J$6:$J$35)-SUM(J$50:J52)</f>
        <v>0</v>
      </c>
      <c r="K53" s="100">
        <f>SUMIF($C$6:$C$35,"&lt;="&amp;$C$6+(7-WEEKDAY($C$6))+(RIGHT(B53,1)*7)-7,$K$6:$K$35)-SUM(K$50:K52)</f>
        <v>0</v>
      </c>
      <c r="L53" s="150">
        <f>SUMIF($C$6:$C$35,"&lt;="&amp;$C$6+(7-WEEKDAY($C$6))+(RIGHT(C53,1)*7)-7,$L$6:$L$35)-SUM(L$50:L52)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SUMIF($C$6:$C$35,"&lt;="&amp;$C$6+(7-WEEKDAY($C$6))+(RIGHT(B54,1)*7)-7,$I$6:$I$35)-SUM(I$50:I53)</f>
        <v>0</v>
      </c>
      <c r="J54" s="100">
        <f>SUMIF($C$6:$C$35,"&lt;="&amp;$C$6+(7-WEEKDAY($C$6))+(RIGHT(B54,1)*7)-7,$J$6:$J$35)-SUM(J$50:J53)</f>
        <v>0</v>
      </c>
      <c r="K54" s="100">
        <f>SUMIF($C$6:$C$35,"&lt;="&amp;$C$6+(7-WEEKDAY($C$6))+(RIGHT(B54,1)*7)-7,$K$6:$K$35)-SUM(K$50:K53)</f>
        <v>0</v>
      </c>
      <c r="L54" s="150">
        <f>SUMIF($C$6:$C$35,"&lt;="&amp;$C$6+(7-WEEKDAY($C$6))+(RIGHT(C54,1)*7)-7,$L$6:$L$35)-SUM(L$50:L53)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SUMIF($C$6:$C$35,"&lt;="&amp;$C$6+(7-WEEKDAY($C$6))+(RIGHT(B55,1)*7)-7,$I$6:$I$35)-SUM(I$50:I54)</f>
        <v>0</v>
      </c>
      <c r="J55" s="100">
        <f>SUMIF($C$6:$C$35,"&lt;="&amp;$C$6+(7-WEEKDAY($C$6))+(RIGHT(B55,1)*7)-7,$J$6:$J$35)-SUM(J$50:J54)</f>
        <v>0</v>
      </c>
      <c r="K55" s="100">
        <f>SUMIF($C$6:$C$35,"&lt;="&amp;$C$6+(7-WEEKDAY($C$6))+(RIGHT(B55,1)*7)-7,$K$6:$K$35)-SUM(K$50:K54)</f>
        <v>0</v>
      </c>
      <c r="L55" s="150">
        <f>SUMIF($C$6:$C$35,"&lt;="&amp;$C$6+(7-WEEKDAY($C$6))+(RIGHT(C55,1)*7)-7,$L$6:$L$35)-SUM(L$50:L54)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x14ac:dyDescent="0.2">
      <c r="I64" s="100"/>
      <c r="J64" s="100"/>
      <c r="K64" s="100"/>
      <c r="L64" s="144"/>
      <c r="M64" s="144"/>
      <c r="N64" s="57"/>
    </row>
    <row r="65" spans="9:14" x14ac:dyDescent="0.2">
      <c r="I65" s="100"/>
      <c r="J65" s="100"/>
      <c r="K65" s="100"/>
      <c r="L65" s="144"/>
      <c r="M65" s="144"/>
      <c r="N65" s="57"/>
    </row>
    <row r="66" spans="9:14" x14ac:dyDescent="0.2">
      <c r="I66" s="100"/>
      <c r="J66" s="100"/>
      <c r="K66" s="100"/>
      <c r="L66" s="144"/>
      <c r="M66" s="144"/>
      <c r="N66" s="57"/>
    </row>
    <row r="67" spans="9:14" x14ac:dyDescent="0.2">
      <c r="I67" s="100"/>
      <c r="J67" s="100"/>
      <c r="K67" s="100"/>
      <c r="L67" s="144"/>
      <c r="M67" s="144"/>
      <c r="N67" s="57"/>
    </row>
    <row r="68" spans="9:14" x14ac:dyDescent="0.2">
      <c r="I68" s="100"/>
      <c r="J68" s="100"/>
      <c r="K68" s="100"/>
      <c r="L68" s="144"/>
      <c r="M68" s="144"/>
      <c r="N68" s="57"/>
    </row>
    <row r="69" spans="9:14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1:O1"/>
    <mergeCell ref="B4:O4"/>
    <mergeCell ref="B3:O3"/>
    <mergeCell ref="B2:O2"/>
    <mergeCell ref="C44:L44"/>
    <mergeCell ref="C41:L41"/>
  </mergeCells>
  <conditionalFormatting sqref="C44">
    <cfRule type="cellIs" dxfId="212" priority="158" operator="between">
      <formula>0</formula>
      <formula>0</formula>
    </cfRule>
  </conditionalFormatting>
  <conditionalFormatting sqref="M6:M36">
    <cfRule type="cellIs" dxfId="21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5DAA83BD-93B5-47D4-B652-0BC242B46C26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4D95509-C141-4846-81D6-59A7B9010242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C8A60B7-94EB-451E-9E19-70015EADFEE9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AE579A8-920C-4175-ADF4-67DB6BE16D5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2DB4557E-0878-4F68-8A62-BDCC5F871BC1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A542625D-BF04-4FE7-BF56-56F6D64BD324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59" stopIfTrue="1" id="{BB3C6EDE-FE12-4C29-A0D1-B63F0525CE56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22D47B70-D17A-4FDF-B285-84A2B0D41D37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079E847C-FFA2-44F2-8041-8E121AA40E1E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104F6944-30DD-4BB2-B196-54C4D5A03BAD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FDC74B70-8B67-4D09-B7CF-2D8C9849F454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60" stopIfTrue="1" id="{7BF35D99-FE1E-4BB1-9F30-D3F6E2C94034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61" id="{BFC55258-D14A-4EE9-9669-BB07A3A28AD2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18BD89A6-FD72-4612-A9A3-36FB7C7965F6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B37F9CEA-B1C0-442C-9055-112F37F77B2B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DCF0056F-5384-48B7-A693-089B95CEDA10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08B91D53-F4E6-4DFD-82EC-ADACB35422DE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2FACE344-DD74-4C5B-BA25-58F832EC921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62" stopIfTrue="1" id="{D6DD2E62-3D9E-458C-838C-B3B76968CE0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0D33103A-8563-42CC-A851-100006E64E69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2860DDA6-8146-41DF-B60C-CB489676BA96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4AAB334D-AD95-496A-A914-634BA40A4DE3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CC9A5FC-686D-43D2-8041-CE174DF7FF3C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389B40EC-7B6D-4FCA-9B00-947C87D9A214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C33BD345-82B3-46C2-8FC4-D65AEF91B29B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63" stopIfTrue="1" id="{09E69FF3-11A2-40FB-92E5-455FCD501517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F45BA496-EEF4-4032-8E51-502B680191C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6277CF34-8F2B-44D9-B3C6-41655CC92455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EEB88591-4090-4151-8B42-D4DADA9A55DE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69"/>
  <sheetViews>
    <sheetView topLeftCell="A7"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"&amp;TEXT(C36,"mmmm d")&amp;", "&amp;Worksheet!C1</f>
        <v>May 16 - June 15,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 t="str">
        <f>IF(C6="","",IFERROR(INDEX(Table7[Holidays],MATCH(C6,Table7[Date],0)),C6))</f>
        <v>Timesheet Due</v>
      </c>
      <c r="C6" s="118">
        <f>'Apr-May'!C35+1</f>
        <v>45793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>
        <f>IF(C7="","",IFERROR(INDEX(Table7[Holidays],MATCH(C7,Table7[Date],0)),C7))</f>
        <v>45794</v>
      </c>
      <c r="C7" s="118">
        <f>C6+1</f>
        <v>45794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45795</v>
      </c>
      <c r="C8" s="118">
        <f t="shared" ref="C8:C35" si="1">C7+1</f>
        <v>45795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45796</v>
      </c>
      <c r="C9" s="118">
        <f t="shared" si="1"/>
        <v>45796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>
        <f>IF(C10="","",IFERROR(INDEX(Table7[Holidays],MATCH(C10,Table7[Date],0)),C10))</f>
        <v>45797</v>
      </c>
      <c r="C10" s="118">
        <f t="shared" si="1"/>
        <v>45797</v>
      </c>
      <c r="D10" s="127"/>
      <c r="E10" s="127"/>
      <c r="F10" s="127"/>
      <c r="G10" s="127"/>
      <c r="H10" s="127"/>
      <c r="I10" s="127"/>
      <c r="J10" s="127"/>
      <c r="K10" s="127"/>
      <c r="L10" s="120" t="str">
        <f>IFERROR(IF(C10=INDEX(Worksheet!$M$9:$M$25,MATCH(C10,Worksheet!$M$9:$M$25,0)),SUM(D10:H10),""),"")</f>
        <v/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45798</v>
      </c>
      <c r="C11" s="118">
        <f t="shared" si="1"/>
        <v>45798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45799</v>
      </c>
      <c r="C12" s="118">
        <f t="shared" si="1"/>
        <v>45799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 t="str">
        <f>IF(C13="","",IFERROR(INDEX(Table7[Holidays],MATCH(C13,Table7[Date],0)),C13))</f>
        <v>Payday</v>
      </c>
      <c r="C13" s="118">
        <f t="shared" si="1"/>
        <v>45800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45801</v>
      </c>
      <c r="C14" s="118">
        <f t="shared" si="1"/>
        <v>45801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45802</v>
      </c>
      <c r="C15" s="118">
        <f t="shared" si="1"/>
        <v>45802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Memorial Day</v>
      </c>
      <c r="C16" s="118">
        <f t="shared" si="1"/>
        <v>45803</v>
      </c>
      <c r="D16" s="124"/>
      <c r="E16" s="124"/>
      <c r="F16" s="124"/>
      <c r="G16" s="124"/>
      <c r="H16" s="124"/>
      <c r="I16" s="124"/>
      <c r="J16" s="124"/>
      <c r="K16" s="124"/>
      <c r="L16" s="120">
        <f>IFERROR(IF(C16=INDEX(Worksheet!$M$9:$M$25,MATCH(C16,Worksheet!$M$9:$M$25,0)),SUM(D16:H16),""),"")</f>
        <v>0</v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45804</v>
      </c>
      <c r="C17" s="118">
        <f t="shared" si="1"/>
        <v>45804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45805</v>
      </c>
      <c r="C18" s="118">
        <f t="shared" si="1"/>
        <v>45805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45806</v>
      </c>
      <c r="C19" s="118">
        <f t="shared" si="1"/>
        <v>45806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45807</v>
      </c>
      <c r="C20" s="118">
        <f t="shared" si="1"/>
        <v>45807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45808</v>
      </c>
      <c r="C21" s="118">
        <f t="shared" si="1"/>
        <v>45808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x14ac:dyDescent="0.2">
      <c r="B22" s="80">
        <f>IF(C22="","",IFERROR(INDEX(Table7[Holidays],MATCH(C22,Table7[Date],0)),C22))</f>
        <v>45809</v>
      </c>
      <c r="C22" s="118">
        <f t="shared" si="1"/>
        <v>45809</v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x14ac:dyDescent="0.2">
      <c r="A23" s="123"/>
      <c r="B23" s="80">
        <f>IF(C23="","",IFERROR(INDEX(Table7[Holidays],MATCH(C23,Table7[Date],0)),C23))</f>
        <v>45810</v>
      </c>
      <c r="C23" s="118">
        <f t="shared" si="1"/>
        <v>45810</v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x14ac:dyDescent="0.2">
      <c r="A24" s="126"/>
      <c r="B24" s="80">
        <f>IF(C24="","",IFERROR(INDEX(Table7[Holidays],MATCH(C24,Table7[Date],0)),C24))</f>
        <v>45811</v>
      </c>
      <c r="C24" s="118">
        <f t="shared" si="1"/>
        <v>45811</v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x14ac:dyDescent="0.2">
      <c r="A25" s="126"/>
      <c r="B25" s="80" t="str">
        <f>IF(C25="","",IFERROR(INDEX(Table7[Holidays],MATCH(C25,Table7[Date],0)),C25))</f>
        <v>Last Day of School</v>
      </c>
      <c r="C25" s="118">
        <f t="shared" si="1"/>
        <v>45812</v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x14ac:dyDescent="0.2">
      <c r="B26" s="80">
        <f>IF(C26="","",IFERROR(INDEX(Table7[Holidays],MATCH(C26,Table7[Date],0)),C26))</f>
        <v>45813</v>
      </c>
      <c r="C26" s="118">
        <f t="shared" si="1"/>
        <v>45813</v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x14ac:dyDescent="0.2">
      <c r="B27" s="80">
        <f>IF(C27="","",IFERROR(INDEX(Table7[Holidays],MATCH(C27,Table7[Date],0)),C27))</f>
        <v>45814</v>
      </c>
      <c r="C27" s="118">
        <f t="shared" si="1"/>
        <v>45814</v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x14ac:dyDescent="0.2">
      <c r="B28" s="80">
        <f>IF(C28="","",IFERROR(INDEX(Table7[Holidays],MATCH(C28,Table7[Date],0)),C28))</f>
        <v>45815</v>
      </c>
      <c r="C28" s="118">
        <f t="shared" si="1"/>
        <v>45815</v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x14ac:dyDescent="0.2">
      <c r="A29" s="123"/>
      <c r="B29" s="80">
        <f>IF(C29="","",IFERROR(INDEX(Table7[Holidays],MATCH(C29,Table7[Date],0)),C29))</f>
        <v>45816</v>
      </c>
      <c r="C29" s="118">
        <f t="shared" si="1"/>
        <v>45816</v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x14ac:dyDescent="0.2">
      <c r="A30" s="126"/>
      <c r="B30" s="80">
        <f>IF(C30="","",IFERROR(INDEX(Table7[Holidays],MATCH(C30,Table7[Date],0)),C30))</f>
        <v>45817</v>
      </c>
      <c r="C30" s="118">
        <f t="shared" si="1"/>
        <v>45817</v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x14ac:dyDescent="0.2">
      <c r="A31" s="126"/>
      <c r="B31" s="80">
        <f>IF(C31="","",IFERROR(INDEX(Table7[Holidays],MATCH(C31,Table7[Date],0)),C31))</f>
        <v>45818</v>
      </c>
      <c r="C31" s="118">
        <f t="shared" si="1"/>
        <v>45818</v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x14ac:dyDescent="0.2">
      <c r="B32" s="80">
        <f>IF(C32="","",IFERROR(INDEX(Table7[Holidays],MATCH(C32,Table7[Date],0)),C32))</f>
        <v>45819</v>
      </c>
      <c r="C32" s="118">
        <f t="shared" si="1"/>
        <v>45819</v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x14ac:dyDescent="0.2">
      <c r="B33" s="80">
        <f>IF(C33="","",IFERROR(INDEX(Table7[Holidays],MATCH(C33,Table7[Date],0)),C33))</f>
        <v>45820</v>
      </c>
      <c r="C33" s="118">
        <f t="shared" si="1"/>
        <v>45820</v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x14ac:dyDescent="0.2">
      <c r="B34" s="80">
        <f>IF(C34="","",IFERROR(INDEX(Table7[Holidays],MATCH(C34,Table7[Date],0)),C34))</f>
        <v>45821</v>
      </c>
      <c r="C34" s="118">
        <f t="shared" si="1"/>
        <v>45821</v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x14ac:dyDescent="0.2">
      <c r="B35" s="80">
        <f>IF(C35="","",IFERROR(INDEX(Table7[Holidays],MATCH(C35,Table7[Date],0)),C35))</f>
        <v>45822</v>
      </c>
      <c r="C35" s="118">
        <f t="shared" si="1"/>
        <v>45822</v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x14ac:dyDescent="0.2">
      <c r="B36" s="80">
        <f>IF(C36="","",IFERROR(INDEX(Table7[Holidays],MATCH(C36,Table7[Date],0)),C36))</f>
        <v>45823</v>
      </c>
      <c r="C36" s="118">
        <f>IF(C34="","",IF(DAY(C35+1)=DAY(C6),"",C35+1))</f>
        <v>45823</v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2">SUM(E6:E36)</f>
        <v>0</v>
      </c>
      <c r="F37" s="131">
        <f t="shared" si="2"/>
        <v>0</v>
      </c>
      <c r="G37" s="131">
        <f t="shared" si="2"/>
        <v>0</v>
      </c>
      <c r="H37" s="131">
        <f t="shared" si="2"/>
        <v>0</v>
      </c>
      <c r="I37" s="131">
        <f t="shared" si="2"/>
        <v>0</v>
      </c>
      <c r="J37" s="131">
        <f t="shared" si="2"/>
        <v>0</v>
      </c>
      <c r="K37" s="131">
        <f t="shared" si="2"/>
        <v>0</v>
      </c>
      <c r="L37" s="131">
        <f t="shared" si="2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G49" si="3">C5</f>
        <v>0</v>
      </c>
      <c r="D49" s="97" t="str">
        <f t="shared" si="3"/>
        <v>ENTER POSITION IN THIS CELL</v>
      </c>
      <c r="E49" s="97" t="str">
        <f t="shared" si="3"/>
        <v>ENTER POSITION IN THIS CELL</v>
      </c>
      <c r="F49" s="97" t="str">
        <f t="shared" si="3"/>
        <v>ENTER POSITION IN THIS CELL</v>
      </c>
      <c r="G49" s="97">
        <f t="shared" si="3"/>
        <v>0</v>
      </c>
      <c r="H49" s="97">
        <f t="shared" ref="H49" si="4">H5</f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K57" si="6">SUM(E51:E55)</f>
        <v>0</v>
      </c>
      <c r="F57" s="100">
        <f t="shared" ref="F57:G57" si="7">SUM(F51:F55)</f>
        <v>0</v>
      </c>
      <c r="G57" s="100">
        <f t="shared" si="7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ref="L57" si="8">SUM(L51:L55)</f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9">E57-E37</f>
        <v>0</v>
      </c>
      <c r="F59" s="100">
        <f t="shared" si="9"/>
        <v>0</v>
      </c>
      <c r="G59" s="100">
        <f t="shared" si="9"/>
        <v>0</v>
      </c>
      <c r="H59" s="100">
        <f t="shared" si="9"/>
        <v>0</v>
      </c>
      <c r="I59" s="100">
        <f t="shared" si="9"/>
        <v>0</v>
      </c>
      <c r="J59" s="100">
        <f t="shared" si="9"/>
        <v>0</v>
      </c>
      <c r="K59" s="100">
        <f t="shared" si="9"/>
        <v>0</v>
      </c>
      <c r="L59" s="100">
        <f t="shared" si="9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B2:O2"/>
    <mergeCell ref="B1:O1"/>
    <mergeCell ref="C44:L44"/>
    <mergeCell ref="C41:L41"/>
    <mergeCell ref="B4:O4"/>
    <mergeCell ref="B3:O3"/>
  </mergeCells>
  <conditionalFormatting sqref="C44">
    <cfRule type="cellIs" dxfId="182" priority="148" operator="between">
      <formula>0</formula>
      <formula>0</formula>
    </cfRule>
  </conditionalFormatting>
  <conditionalFormatting sqref="M6:M36">
    <cfRule type="cellIs" dxfId="18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1156E97C-28CD-476E-9099-710BDC7BB602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1F5E9E68-65D7-4160-B2B9-233A78D04B3B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EDB66488-5375-44E2-8972-C0CE91C8890A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A2ED1E82-D360-490F-9C7D-3564C871F070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FEAD54C4-3593-4F7D-91F0-DD8792289D3A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4D8FCFB0-5387-43A8-9E96-C36B0E76BA2D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49" stopIfTrue="1" id="{BA3E6390-7A48-4DC1-A730-E6D6903E2160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FABFB145-1490-4898-BDE8-9F35010E4393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7CAB0E91-DD6F-444E-ABB6-7E49A0B51A61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7DF9C20E-8294-4A9A-98E6-E8F8B55A9C8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9FDE3A5E-AB4C-43B5-A253-43832BE2DD1D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50" stopIfTrue="1" id="{5551A44D-7CCA-4508-9200-0DDE1735B2D6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51" id="{77C450DD-51CD-48A3-96AD-69DDF613FAD6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4AF10231-B227-4D5E-BA5E-CF71973BBB99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A7F70F1C-2AA9-41D4-ACA1-579E996852CD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BBEF14CB-44E1-4ED4-A6B8-79B52BDAE9B2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D026A150-3492-4C5C-B020-51809B60386D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6C9DC2EA-E34C-4981-9A53-8D6D780E683A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52" stopIfTrue="1" id="{36D02E75-82F8-49F7-9484-6D4A773EA969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1BCB45B0-26AE-4DF6-802D-5B69BD7F7C26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15B9EBFC-F53D-4694-AC95-B80768E5A47F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EFE5D291-7EC4-485A-B4DC-34240B5C6D2C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CF5BD45F-7F54-492F-A7AD-9502C5A805EB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26448007-7F0E-4B62-A5CE-3D025FDECCF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18F50AD7-7A1A-4D07-BF04-777D709E08D5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153" stopIfTrue="1" id="{0AB526C3-7616-460E-B25F-4DBA21576880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6EE35DE5-4293-4C97-906B-90775EE57EF4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863C7035-EC23-4FAC-B596-56F8D72D6B88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2BDDC148-4846-427B-B0E1-1A1BF76BB7BC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2C08-E9DB-4368-BDC6-17F5EDEA4E1E}">
  <sheetPr>
    <pageSetUpPr fitToPage="1"/>
  </sheetPr>
  <dimension ref="A1:O69"/>
  <sheetViews>
    <sheetView workbookViewId="0">
      <selection activeCell="G5" sqref="G5:H5"/>
    </sheetView>
  </sheetViews>
  <sheetFormatPr defaultColWidth="9.140625" defaultRowHeight="15" x14ac:dyDescent="0.2"/>
  <cols>
    <col min="1" max="1" width="9.140625" style="61"/>
    <col min="2" max="2" width="17.140625" style="57" customWidth="1"/>
    <col min="3" max="3" width="7.5703125" style="57" customWidth="1"/>
    <col min="4" max="6" width="14.7109375" style="57" hidden="1" customWidth="1"/>
    <col min="7" max="7" width="14.7109375" style="57" customWidth="1"/>
    <col min="8" max="8" width="14.7109375" style="144" customWidth="1"/>
    <col min="9" max="11" width="11.5703125" style="144" customWidth="1"/>
    <col min="12" max="12" width="11.5703125" style="100" customWidth="1"/>
    <col min="13" max="13" width="9.7109375" style="100" customWidth="1"/>
    <col min="14" max="14" width="32.85546875" style="85" customWidth="1"/>
    <col min="15" max="15" width="32.85546875" style="150" customWidth="1"/>
    <col min="16" max="16384" width="9.140625" style="57"/>
  </cols>
  <sheetData>
    <row r="1" spans="1:15" ht="18" x14ac:dyDescent="0.25">
      <c r="B1" s="272" t="str">
        <f>'Jun-Jul'!B1:N1</f>
        <v>Dayville SD #16J Timesheet 2024-2025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x14ac:dyDescent="0.2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</row>
    <row r="3" spans="1:15" x14ac:dyDescent="0.2">
      <c r="B3" s="271" t="str">
        <f>TEXT(C6,"mmmm d")&amp;" - "&amp;TEXT(EOMONTH(C6,0),"mmmm d")&amp;", "&amp;Worksheet!C1</f>
        <v>June 15 - June 30, 2025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</row>
    <row r="4" spans="1:15" x14ac:dyDescent="0.2"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5" ht="60" x14ac:dyDescent="0.2">
      <c r="B5" s="55"/>
      <c r="C5" s="55"/>
      <c r="D5" s="62" t="s">
        <v>124</v>
      </c>
      <c r="E5" s="62" t="s">
        <v>124</v>
      </c>
      <c r="F5" s="62" t="s">
        <v>124</v>
      </c>
      <c r="G5" s="62"/>
      <c r="H5" s="62"/>
      <c r="I5" s="56" t="s">
        <v>107</v>
      </c>
      <c r="J5" s="56" t="s">
        <v>108</v>
      </c>
      <c r="K5" s="56" t="s">
        <v>109</v>
      </c>
      <c r="L5" s="56" t="s">
        <v>6</v>
      </c>
      <c r="M5" s="56" t="str">
        <f>'Jun-Jul'!M5</f>
        <v>TOTAL HOURS</v>
      </c>
      <c r="N5" s="55" t="str">
        <f>'Jun-Jul'!N5</f>
        <v>Comments</v>
      </c>
      <c r="O5" s="55" t="str">
        <f>'Jun-Jul'!O5</f>
        <v>Substitute</v>
      </c>
    </row>
    <row r="6" spans="1:15" x14ac:dyDescent="0.2">
      <c r="B6" s="80">
        <f>IF(C6="","",IFERROR(INDEX(Table7[Holidays],MATCH(C6,Table7[Date],0)),C6))</f>
        <v>45823</v>
      </c>
      <c r="C6" s="118">
        <f>'May-Jun'!C35+1</f>
        <v>45823</v>
      </c>
      <c r="D6" s="119"/>
      <c r="E6" s="119"/>
      <c r="F6" s="119"/>
      <c r="G6" s="119"/>
      <c r="H6" s="119"/>
      <c r="I6" s="119"/>
      <c r="J6" s="119"/>
      <c r="K6" s="119"/>
      <c r="L6" s="120" t="str">
        <f>IFERROR(IF(C6=INDEX(Worksheet!$M$9:$M$25,MATCH(C6,Worksheet!$M$9:$M$25,0)),SUM(D6:H6),""),"")</f>
        <v/>
      </c>
      <c r="M6" s="121">
        <f>SUM(D6:H6)</f>
        <v>0</v>
      </c>
      <c r="N6" s="122"/>
      <c r="O6" s="122"/>
    </row>
    <row r="7" spans="1:15" x14ac:dyDescent="0.2">
      <c r="A7" s="54"/>
      <c r="B7" s="80" t="str">
        <f>IF(C7="","",IFERROR(INDEX(Table7[Holidays],MATCH(C7,Table7[Date],0)),C7))</f>
        <v>Timesheet Due</v>
      </c>
      <c r="C7" s="118">
        <f>C6+1</f>
        <v>45824</v>
      </c>
      <c r="D7" s="119"/>
      <c r="E7" s="119"/>
      <c r="F7" s="119"/>
      <c r="G7" s="119"/>
      <c r="H7" s="119"/>
      <c r="I7" s="119"/>
      <c r="J7" s="119"/>
      <c r="K7" s="119"/>
      <c r="L7" s="120" t="str">
        <f>IFERROR(IF(C7=INDEX(Worksheet!$M$9:$M$25,MATCH(C7,Worksheet!$M$9:$M$25,0)),SUM(D7:H7),""),"")</f>
        <v/>
      </c>
      <c r="M7" s="121">
        <f t="shared" ref="M7:M36" si="0">SUM(D7:H7)</f>
        <v>0</v>
      </c>
      <c r="N7" s="122"/>
      <c r="O7" s="122"/>
    </row>
    <row r="8" spans="1:15" x14ac:dyDescent="0.2">
      <c r="B8" s="80">
        <f>IF(C8="","",IFERROR(INDEX(Table7[Holidays],MATCH(C8,Table7[Date],0)),C8))</f>
        <v>45825</v>
      </c>
      <c r="C8" s="118">
        <f t="shared" ref="C8:C21" si="1">C7+1</f>
        <v>45825</v>
      </c>
      <c r="D8" s="119"/>
      <c r="E8" s="119"/>
      <c r="F8" s="119"/>
      <c r="G8" s="119"/>
      <c r="H8" s="119"/>
      <c r="I8" s="119"/>
      <c r="J8" s="119"/>
      <c r="K8" s="119"/>
      <c r="L8" s="120" t="str">
        <f>IFERROR(IF(C8=INDEX(Worksheet!$M$9:$M$25,MATCH(C8,Worksheet!$M$9:$M$25,0)),SUM(D8:H8),""),"")</f>
        <v/>
      </c>
      <c r="M8" s="121">
        <f t="shared" si="0"/>
        <v>0</v>
      </c>
      <c r="N8" s="122"/>
      <c r="O8" s="122"/>
    </row>
    <row r="9" spans="1:15" x14ac:dyDescent="0.2">
      <c r="A9" s="123"/>
      <c r="B9" s="80">
        <f>IF(C9="","",IFERROR(INDEX(Table7[Holidays],MATCH(C9,Table7[Date],0)),C9))</f>
        <v>45826</v>
      </c>
      <c r="C9" s="118">
        <f t="shared" si="1"/>
        <v>45826</v>
      </c>
      <c r="D9" s="124"/>
      <c r="E9" s="124"/>
      <c r="F9" s="124"/>
      <c r="G9" s="124"/>
      <c r="H9" s="124"/>
      <c r="I9" s="124"/>
      <c r="J9" s="124"/>
      <c r="K9" s="124"/>
      <c r="L9" s="120" t="str">
        <f>IFERROR(IF(C9=INDEX(Worksheet!$M$9:$M$25,MATCH(C9,Worksheet!$M$9:$M$25,0)),SUM(D9:H9),""),"")</f>
        <v/>
      </c>
      <c r="M9" s="121">
        <f t="shared" si="0"/>
        <v>0</v>
      </c>
      <c r="N9" s="122"/>
      <c r="O9" s="125"/>
    </row>
    <row r="10" spans="1:15" x14ac:dyDescent="0.2">
      <c r="A10" s="126"/>
      <c r="B10" s="80" t="str">
        <f>IF(C10="","",IFERROR(INDEX(Table7[Holidays],MATCH(C10,Table7[Date],0)),C10))</f>
        <v>Juneteenth</v>
      </c>
      <c r="C10" s="118">
        <f t="shared" si="1"/>
        <v>45827</v>
      </c>
      <c r="D10" s="127"/>
      <c r="E10" s="127"/>
      <c r="F10" s="127"/>
      <c r="G10" s="127"/>
      <c r="H10" s="127"/>
      <c r="I10" s="127"/>
      <c r="J10" s="127"/>
      <c r="K10" s="127"/>
      <c r="L10" s="120">
        <f>IFERROR(IF(C10=INDEX(Worksheet!$M$9:$M$25,MATCH(C10,Worksheet!$M$9:$M$25,0)),SUM(D10:H10),""),"")</f>
        <v>0</v>
      </c>
      <c r="M10" s="121">
        <f t="shared" si="0"/>
        <v>0</v>
      </c>
      <c r="N10" s="122"/>
      <c r="O10" s="128"/>
    </row>
    <row r="11" spans="1:15" x14ac:dyDescent="0.2">
      <c r="A11" s="126"/>
      <c r="B11" s="80">
        <f>IF(C11="","",IFERROR(INDEX(Table7[Holidays],MATCH(C11,Table7[Date],0)),C11))</f>
        <v>45828</v>
      </c>
      <c r="C11" s="118">
        <f t="shared" si="1"/>
        <v>45828</v>
      </c>
      <c r="D11" s="127"/>
      <c r="E11" s="127"/>
      <c r="F11" s="127"/>
      <c r="G11" s="127"/>
      <c r="H11" s="127"/>
      <c r="I11" s="127"/>
      <c r="J11" s="127"/>
      <c r="K11" s="127"/>
      <c r="L11" s="120" t="str">
        <f>IFERROR(IF(C11=INDEX(Worksheet!$M$9:$M$25,MATCH(C11,Worksheet!$M$9:$M$25,0)),SUM(D11:H11),""),"")</f>
        <v/>
      </c>
      <c r="M11" s="121">
        <f t="shared" si="0"/>
        <v>0</v>
      </c>
      <c r="N11" s="122"/>
      <c r="O11" s="128"/>
    </row>
    <row r="12" spans="1:15" x14ac:dyDescent="0.2">
      <c r="B12" s="80">
        <f>IF(C12="","",IFERROR(INDEX(Table7[Holidays],MATCH(C12,Table7[Date],0)),C12))</f>
        <v>45829</v>
      </c>
      <c r="C12" s="118">
        <f t="shared" si="1"/>
        <v>45829</v>
      </c>
      <c r="D12" s="119"/>
      <c r="E12" s="119"/>
      <c r="F12" s="119"/>
      <c r="G12" s="119"/>
      <c r="H12" s="119"/>
      <c r="I12" s="119"/>
      <c r="J12" s="119"/>
      <c r="K12" s="119"/>
      <c r="L12" s="120" t="str">
        <f>IFERROR(IF(C12=INDEX(Worksheet!$M$9:$M$25,MATCH(C12,Worksheet!$M$9:$M$25,0)),SUM(D12:H12),""),"")</f>
        <v/>
      </c>
      <c r="M12" s="121">
        <f t="shared" si="0"/>
        <v>0</v>
      </c>
      <c r="N12" s="122"/>
      <c r="O12" s="122"/>
    </row>
    <row r="13" spans="1:15" x14ac:dyDescent="0.2">
      <c r="B13" s="80">
        <f>IF(C13="","",IFERROR(INDEX(Table7[Holidays],MATCH(C13,Table7[Date],0)),C13))</f>
        <v>45830</v>
      </c>
      <c r="C13" s="118">
        <f t="shared" si="1"/>
        <v>45830</v>
      </c>
      <c r="D13" s="119"/>
      <c r="E13" s="119"/>
      <c r="F13" s="119"/>
      <c r="G13" s="119"/>
      <c r="H13" s="119"/>
      <c r="I13" s="119"/>
      <c r="J13" s="119"/>
      <c r="K13" s="119"/>
      <c r="L13" s="120" t="str">
        <f>IFERROR(IF(C13=INDEX(Worksheet!$M$9:$M$25,MATCH(C13,Worksheet!$M$9:$M$25,0)),SUM(D13:H13),""),"")</f>
        <v/>
      </c>
      <c r="M13" s="121">
        <f t="shared" si="0"/>
        <v>0</v>
      </c>
      <c r="N13" s="122"/>
      <c r="O13" s="122"/>
    </row>
    <row r="14" spans="1:15" x14ac:dyDescent="0.2">
      <c r="B14" s="80">
        <f>IF(C14="","",IFERROR(INDEX(Table7[Holidays],MATCH(C14,Table7[Date],0)),C14))</f>
        <v>45831</v>
      </c>
      <c r="C14" s="118">
        <f t="shared" si="1"/>
        <v>45831</v>
      </c>
      <c r="D14" s="119"/>
      <c r="E14" s="119"/>
      <c r="F14" s="119"/>
      <c r="G14" s="119"/>
      <c r="H14" s="119"/>
      <c r="I14" s="119"/>
      <c r="J14" s="119"/>
      <c r="K14" s="119"/>
      <c r="L14" s="120" t="str">
        <f>IFERROR(IF(C14=INDEX(Worksheet!$M$9:$M$25,MATCH(C14,Worksheet!$M$9:$M$25,0)),SUM(D14:H14),""),"")</f>
        <v/>
      </c>
      <c r="M14" s="121">
        <f t="shared" si="0"/>
        <v>0</v>
      </c>
      <c r="N14" s="122"/>
      <c r="O14" s="122"/>
    </row>
    <row r="15" spans="1:15" x14ac:dyDescent="0.2">
      <c r="B15" s="80">
        <f>IF(C15="","",IFERROR(INDEX(Table7[Holidays],MATCH(C15,Table7[Date],0)),C15))</f>
        <v>45832</v>
      </c>
      <c r="C15" s="118">
        <f t="shared" si="1"/>
        <v>45832</v>
      </c>
      <c r="D15" s="119"/>
      <c r="E15" s="119"/>
      <c r="F15" s="119"/>
      <c r="G15" s="119"/>
      <c r="H15" s="119"/>
      <c r="I15" s="119"/>
      <c r="J15" s="119"/>
      <c r="K15" s="119"/>
      <c r="L15" s="120" t="str">
        <f>IFERROR(IF(C15=INDEX(Worksheet!$M$9:$M$25,MATCH(C15,Worksheet!$M$9:$M$25,0)),SUM(D15:H15),""),"")</f>
        <v/>
      </c>
      <c r="M15" s="121">
        <f t="shared" si="0"/>
        <v>0</v>
      </c>
      <c r="N15" s="122"/>
      <c r="O15" s="122"/>
    </row>
    <row r="16" spans="1:15" x14ac:dyDescent="0.2">
      <c r="A16" s="123"/>
      <c r="B16" s="80" t="str">
        <f>IF(C16="","",IFERROR(INDEX(Table7[Holidays],MATCH(C16,Table7[Date],0)),C16))</f>
        <v>Payday</v>
      </c>
      <c r="C16" s="118">
        <f t="shared" si="1"/>
        <v>45833</v>
      </c>
      <c r="D16" s="124"/>
      <c r="E16" s="124"/>
      <c r="F16" s="124"/>
      <c r="G16" s="124"/>
      <c r="H16" s="124"/>
      <c r="I16" s="124"/>
      <c r="J16" s="124"/>
      <c r="K16" s="124"/>
      <c r="L16" s="120" t="str">
        <f>IFERROR(IF(C16=INDEX(Worksheet!$M$9:$M$25,MATCH(C16,Worksheet!$M$9:$M$25,0)),SUM(D16:H16),""),"")</f>
        <v/>
      </c>
      <c r="M16" s="121">
        <f t="shared" si="0"/>
        <v>0</v>
      </c>
      <c r="N16" s="122"/>
      <c r="O16" s="125"/>
    </row>
    <row r="17" spans="1:15" x14ac:dyDescent="0.2">
      <c r="A17" s="126"/>
      <c r="B17" s="80">
        <f>IF(C17="","",IFERROR(INDEX(Table7[Holidays],MATCH(C17,Table7[Date],0)),C17))</f>
        <v>45834</v>
      </c>
      <c r="C17" s="118">
        <f t="shared" si="1"/>
        <v>45834</v>
      </c>
      <c r="D17" s="127"/>
      <c r="E17" s="127"/>
      <c r="F17" s="127"/>
      <c r="G17" s="127"/>
      <c r="H17" s="127"/>
      <c r="I17" s="127"/>
      <c r="J17" s="127"/>
      <c r="K17" s="127"/>
      <c r="L17" s="120" t="str">
        <f>IFERROR(IF(C17=INDEX(Worksheet!$M$9:$M$25,MATCH(C17,Worksheet!$M$9:$M$25,0)),SUM(D17:H17),""),"")</f>
        <v/>
      </c>
      <c r="M17" s="121">
        <f t="shared" si="0"/>
        <v>0</v>
      </c>
      <c r="N17" s="122"/>
      <c r="O17" s="128"/>
    </row>
    <row r="18" spans="1:15" x14ac:dyDescent="0.2">
      <c r="A18" s="126"/>
      <c r="B18" s="80">
        <f>IF(C18="","",IFERROR(INDEX(Table7[Holidays],MATCH(C18,Table7[Date],0)),C18))</f>
        <v>45835</v>
      </c>
      <c r="C18" s="118">
        <f t="shared" si="1"/>
        <v>45835</v>
      </c>
      <c r="D18" s="127"/>
      <c r="E18" s="127"/>
      <c r="F18" s="127"/>
      <c r="G18" s="127"/>
      <c r="H18" s="127"/>
      <c r="I18" s="127"/>
      <c r="J18" s="127"/>
      <c r="K18" s="127"/>
      <c r="L18" s="120" t="str">
        <f>IFERROR(IF(C18=INDEX(Worksheet!$M$9:$M$25,MATCH(C18,Worksheet!$M$9:$M$25,0)),SUM(D18:H18),""),"")</f>
        <v/>
      </c>
      <c r="M18" s="121">
        <f t="shared" si="0"/>
        <v>0</v>
      </c>
      <c r="N18" s="122"/>
      <c r="O18" s="128"/>
    </row>
    <row r="19" spans="1:15" x14ac:dyDescent="0.2">
      <c r="B19" s="80">
        <f>IF(C19="","",IFERROR(INDEX(Table7[Holidays],MATCH(C19,Table7[Date],0)),C19))</f>
        <v>45836</v>
      </c>
      <c r="C19" s="118">
        <f t="shared" si="1"/>
        <v>45836</v>
      </c>
      <c r="D19" s="119"/>
      <c r="E19" s="119"/>
      <c r="F19" s="119"/>
      <c r="G19" s="119"/>
      <c r="H19" s="119"/>
      <c r="I19" s="119"/>
      <c r="J19" s="119"/>
      <c r="K19" s="119"/>
      <c r="L19" s="120" t="str">
        <f>IFERROR(IF(C19=INDEX(Worksheet!$M$9:$M$25,MATCH(C19,Worksheet!$M$9:$M$25,0)),SUM(D19:H19),""),"")</f>
        <v/>
      </c>
      <c r="M19" s="121">
        <f t="shared" si="0"/>
        <v>0</v>
      </c>
      <c r="N19" s="122"/>
      <c r="O19" s="122"/>
    </row>
    <row r="20" spans="1:15" x14ac:dyDescent="0.2">
      <c r="B20" s="80">
        <f>IF(C20="","",IFERROR(INDEX(Table7[Holidays],MATCH(C20,Table7[Date],0)),C20))</f>
        <v>45837</v>
      </c>
      <c r="C20" s="118">
        <f t="shared" si="1"/>
        <v>45837</v>
      </c>
      <c r="D20" s="119"/>
      <c r="E20" s="119"/>
      <c r="F20" s="119"/>
      <c r="G20" s="119"/>
      <c r="H20" s="119"/>
      <c r="I20" s="119"/>
      <c r="J20" s="119"/>
      <c r="K20" s="119"/>
      <c r="L20" s="120" t="str">
        <f>IFERROR(IF(C20=INDEX(Worksheet!$M$9:$M$25,MATCH(C20,Worksheet!$M$9:$M$25,0)),SUM(D20:H20),""),"")</f>
        <v/>
      </c>
      <c r="M20" s="121">
        <f t="shared" si="0"/>
        <v>0</v>
      </c>
      <c r="N20" s="122"/>
      <c r="O20" s="122"/>
    </row>
    <row r="21" spans="1:15" x14ac:dyDescent="0.2">
      <c r="B21" s="80">
        <f>IF(C21="","",IFERROR(INDEX(Table7[Holidays],MATCH(C21,Table7[Date],0)),C21))</f>
        <v>45838</v>
      </c>
      <c r="C21" s="118">
        <f t="shared" si="1"/>
        <v>45838</v>
      </c>
      <c r="D21" s="119"/>
      <c r="E21" s="119"/>
      <c r="F21" s="119"/>
      <c r="G21" s="119"/>
      <c r="H21" s="119"/>
      <c r="I21" s="119"/>
      <c r="J21" s="119"/>
      <c r="K21" s="119"/>
      <c r="L21" s="120" t="str">
        <f>IFERROR(IF(C21=INDEX(Worksheet!$M$9:$M$25,MATCH(C21,Worksheet!$M$9:$M$25,0)),SUM(D21:H21),""),"")</f>
        <v/>
      </c>
      <c r="M21" s="121">
        <f t="shared" si="0"/>
        <v>0</v>
      </c>
      <c r="N21" s="122"/>
      <c r="O21" s="122"/>
    </row>
    <row r="22" spans="1:15" hidden="1" x14ac:dyDescent="0.2">
      <c r="B22" s="80" t="str">
        <f>IF(C22="","",IFERROR(INDEX(Table7[Holidays],MATCH(C22,Table7[Date],0)),C22))</f>
        <v/>
      </c>
      <c r="C22" s="118" t="str">
        <f>IFERROR(IF(C21=EOMONTH($C$6,0),"",C21+1),"")</f>
        <v/>
      </c>
      <c r="D22" s="119"/>
      <c r="E22" s="119"/>
      <c r="F22" s="119"/>
      <c r="G22" s="119"/>
      <c r="H22" s="119"/>
      <c r="I22" s="119"/>
      <c r="J22" s="119"/>
      <c r="K22" s="119"/>
      <c r="L22" s="120" t="str">
        <f>IFERROR(IF(C22=INDEX(Worksheet!$M$9:$M$25,MATCH(C22,Worksheet!$M$9:$M$25,0)),SUM(D22:H22),""),"")</f>
        <v/>
      </c>
      <c r="M22" s="121">
        <f t="shared" si="0"/>
        <v>0</v>
      </c>
      <c r="N22" s="122"/>
      <c r="O22" s="122"/>
    </row>
    <row r="23" spans="1:15" hidden="1" x14ac:dyDescent="0.2">
      <c r="A23" s="123"/>
      <c r="B23" s="80" t="str">
        <f>IF(C23="","",IFERROR(INDEX(Table7[Holidays],MATCH(C23,Table7[Date],0)),C23))</f>
        <v/>
      </c>
      <c r="C23" s="118" t="str">
        <f t="shared" ref="C23:C36" si="2">IFERROR(IF(C22=EOMONTH($C$6,0),"",C22+1),"")</f>
        <v/>
      </c>
      <c r="D23" s="129"/>
      <c r="E23" s="129"/>
      <c r="F23" s="129"/>
      <c r="G23" s="129"/>
      <c r="H23" s="129"/>
      <c r="I23" s="129"/>
      <c r="J23" s="129"/>
      <c r="K23" s="129"/>
      <c r="L23" s="120" t="str">
        <f>IFERROR(IF(C23=INDEX(Worksheet!$M$9:$M$25,MATCH(C23,Worksheet!$M$9:$M$25,0)),SUM(D23:H23),""),"")</f>
        <v/>
      </c>
      <c r="M23" s="121">
        <f t="shared" si="0"/>
        <v>0</v>
      </c>
      <c r="N23" s="122"/>
      <c r="O23" s="130"/>
    </row>
    <row r="24" spans="1:15" hidden="1" x14ac:dyDescent="0.2">
      <c r="A24" s="126"/>
      <c r="B24" s="80" t="str">
        <f>IF(C24="","",IFERROR(INDEX(Table7[Holidays],MATCH(C24,Table7[Date],0)),C24))</f>
        <v/>
      </c>
      <c r="C24" s="118" t="str">
        <f t="shared" si="2"/>
        <v/>
      </c>
      <c r="D24" s="127"/>
      <c r="E24" s="127"/>
      <c r="F24" s="127"/>
      <c r="G24" s="127"/>
      <c r="H24" s="127"/>
      <c r="I24" s="127"/>
      <c r="J24" s="127"/>
      <c r="K24" s="127"/>
      <c r="L24" s="120" t="str">
        <f>IFERROR(IF(C24=INDEX(Worksheet!$M$9:$M$25,MATCH(C24,Worksheet!$M$9:$M$25,0)),SUM(D24:H24),""),"")</f>
        <v/>
      </c>
      <c r="M24" s="121">
        <f t="shared" si="0"/>
        <v>0</v>
      </c>
      <c r="N24" s="122"/>
      <c r="O24" s="128"/>
    </row>
    <row r="25" spans="1:15" hidden="1" x14ac:dyDescent="0.2">
      <c r="A25" s="126"/>
      <c r="B25" s="80" t="str">
        <f>IF(C25="","",IFERROR(INDEX(Table7[Holidays],MATCH(C25,Table7[Date],0)),C25))</f>
        <v/>
      </c>
      <c r="C25" s="118" t="str">
        <f t="shared" si="2"/>
        <v/>
      </c>
      <c r="D25" s="127"/>
      <c r="E25" s="127"/>
      <c r="F25" s="127"/>
      <c r="G25" s="127"/>
      <c r="H25" s="127"/>
      <c r="I25" s="127"/>
      <c r="J25" s="127"/>
      <c r="K25" s="127"/>
      <c r="L25" s="120" t="str">
        <f>IFERROR(IF(C25=INDEX(Worksheet!$M$9:$M$25,MATCH(C25,Worksheet!$M$9:$M$25,0)),SUM(D25:H25),""),"")</f>
        <v/>
      </c>
      <c r="M25" s="121">
        <f t="shared" si="0"/>
        <v>0</v>
      </c>
      <c r="N25" s="122"/>
      <c r="O25" s="128"/>
    </row>
    <row r="26" spans="1:15" hidden="1" x14ac:dyDescent="0.2">
      <c r="B26" s="80" t="str">
        <f>IF(C26="","",IFERROR(INDEX(Table7[Holidays],MATCH(C26,Table7[Date],0)),C26))</f>
        <v/>
      </c>
      <c r="C26" s="118" t="str">
        <f t="shared" si="2"/>
        <v/>
      </c>
      <c r="D26" s="119"/>
      <c r="E26" s="119"/>
      <c r="F26" s="119"/>
      <c r="G26" s="119"/>
      <c r="H26" s="119"/>
      <c r="I26" s="119"/>
      <c r="J26" s="119"/>
      <c r="K26" s="119"/>
      <c r="L26" s="120" t="str">
        <f>IFERROR(IF(C26=INDEX(Worksheet!$M$9:$M$25,MATCH(C26,Worksheet!$M$9:$M$25,0)),SUM(D26:H26),""),"")</f>
        <v/>
      </c>
      <c r="M26" s="121">
        <f t="shared" si="0"/>
        <v>0</v>
      </c>
      <c r="N26" s="122"/>
      <c r="O26" s="122"/>
    </row>
    <row r="27" spans="1:15" hidden="1" x14ac:dyDescent="0.2">
      <c r="B27" s="80" t="str">
        <f>IF(C27="","",IFERROR(INDEX(Table7[Holidays],MATCH(C27,Table7[Date],0)),C27))</f>
        <v/>
      </c>
      <c r="C27" s="118" t="str">
        <f t="shared" si="2"/>
        <v/>
      </c>
      <c r="D27" s="119"/>
      <c r="E27" s="119"/>
      <c r="F27" s="119"/>
      <c r="G27" s="119"/>
      <c r="H27" s="119"/>
      <c r="I27" s="119"/>
      <c r="J27" s="119"/>
      <c r="K27" s="119"/>
      <c r="L27" s="120" t="str">
        <f>IFERROR(IF(C27=INDEX(Worksheet!$M$9:$M$25,MATCH(C27,Worksheet!$M$9:$M$25,0)),SUM(D27:H27),""),"")</f>
        <v/>
      </c>
      <c r="M27" s="121">
        <f t="shared" si="0"/>
        <v>0</v>
      </c>
      <c r="N27" s="122"/>
      <c r="O27" s="122"/>
    </row>
    <row r="28" spans="1:15" hidden="1" x14ac:dyDescent="0.2">
      <c r="B28" s="80" t="str">
        <f>IF(C28="","",IFERROR(INDEX(Table7[Holidays],MATCH(C28,Table7[Date],0)),C28))</f>
        <v/>
      </c>
      <c r="C28" s="118" t="str">
        <f t="shared" si="2"/>
        <v/>
      </c>
      <c r="D28" s="119"/>
      <c r="E28" s="119"/>
      <c r="F28" s="119"/>
      <c r="G28" s="119"/>
      <c r="H28" s="119"/>
      <c r="I28" s="119"/>
      <c r="J28" s="119"/>
      <c r="K28" s="119"/>
      <c r="L28" s="120" t="str">
        <f>IFERROR(IF(C28=INDEX(Worksheet!$M$9:$M$25,MATCH(C28,Worksheet!$M$9:$M$25,0)),SUM(D28:H28),""),"")</f>
        <v/>
      </c>
      <c r="M28" s="121">
        <f t="shared" si="0"/>
        <v>0</v>
      </c>
      <c r="N28" s="122"/>
      <c r="O28" s="122"/>
    </row>
    <row r="29" spans="1:15" hidden="1" x14ac:dyDescent="0.2">
      <c r="A29" s="123"/>
      <c r="B29" s="80" t="str">
        <f>IF(C29="","",IFERROR(INDEX(Table7[Holidays],MATCH(C29,Table7[Date],0)),C29))</f>
        <v/>
      </c>
      <c r="C29" s="118" t="str">
        <f t="shared" si="2"/>
        <v/>
      </c>
      <c r="D29" s="124"/>
      <c r="E29" s="124"/>
      <c r="F29" s="124"/>
      <c r="G29" s="124"/>
      <c r="H29" s="124"/>
      <c r="I29" s="124"/>
      <c r="J29" s="124"/>
      <c r="K29" s="124"/>
      <c r="L29" s="120" t="str">
        <f>IFERROR(IF(C29=INDEX(Worksheet!$M$9:$M$25,MATCH(C29,Worksheet!$M$9:$M$25,0)),SUM(D29:H29),""),"")</f>
        <v/>
      </c>
      <c r="M29" s="121">
        <f t="shared" si="0"/>
        <v>0</v>
      </c>
      <c r="N29" s="122"/>
      <c r="O29" s="125"/>
    </row>
    <row r="30" spans="1:15" hidden="1" x14ac:dyDescent="0.2">
      <c r="A30" s="126"/>
      <c r="B30" s="80" t="str">
        <f>IF(C30="","",IFERROR(INDEX(Table7[Holidays],MATCH(C30,Table7[Date],0)),C30))</f>
        <v/>
      </c>
      <c r="C30" s="118" t="str">
        <f t="shared" si="2"/>
        <v/>
      </c>
      <c r="D30" s="127"/>
      <c r="E30" s="127"/>
      <c r="F30" s="127"/>
      <c r="G30" s="127"/>
      <c r="H30" s="127"/>
      <c r="I30" s="127"/>
      <c r="J30" s="127"/>
      <c r="K30" s="127"/>
      <c r="L30" s="120" t="str">
        <f>IFERROR(IF(C30=INDEX(Worksheet!$M$9:$M$25,MATCH(C30,Worksheet!$M$9:$M$25,0)),SUM(D30:H30),""),"")</f>
        <v/>
      </c>
      <c r="M30" s="121">
        <f t="shared" si="0"/>
        <v>0</v>
      </c>
      <c r="N30" s="122"/>
      <c r="O30" s="128"/>
    </row>
    <row r="31" spans="1:15" hidden="1" x14ac:dyDescent="0.2">
      <c r="A31" s="126"/>
      <c r="B31" s="80" t="str">
        <f>IF(C31="","",IFERROR(INDEX(Table7[Holidays],MATCH(C31,Table7[Date],0)),C31))</f>
        <v/>
      </c>
      <c r="C31" s="118" t="str">
        <f t="shared" si="2"/>
        <v/>
      </c>
      <c r="D31" s="127"/>
      <c r="E31" s="127"/>
      <c r="F31" s="127"/>
      <c r="G31" s="127"/>
      <c r="H31" s="127"/>
      <c r="I31" s="127"/>
      <c r="J31" s="127"/>
      <c r="K31" s="127"/>
      <c r="L31" s="120" t="str">
        <f>IFERROR(IF(C31=INDEX(Worksheet!$M$9:$M$25,MATCH(C31,Worksheet!$M$9:$M$25,0)),SUM(D31:H31),""),"")</f>
        <v/>
      </c>
      <c r="M31" s="121">
        <f t="shared" si="0"/>
        <v>0</v>
      </c>
      <c r="N31" s="122"/>
      <c r="O31" s="128"/>
    </row>
    <row r="32" spans="1:15" hidden="1" x14ac:dyDescent="0.2">
      <c r="B32" s="80" t="str">
        <f>IF(C32="","",IFERROR(INDEX(Table7[Holidays],MATCH(C32,Table7[Date],0)),C32))</f>
        <v/>
      </c>
      <c r="C32" s="118" t="str">
        <f t="shared" si="2"/>
        <v/>
      </c>
      <c r="D32" s="119"/>
      <c r="E32" s="119"/>
      <c r="F32" s="119"/>
      <c r="G32" s="119"/>
      <c r="H32" s="119"/>
      <c r="I32" s="119"/>
      <c r="J32" s="119"/>
      <c r="K32" s="119"/>
      <c r="L32" s="120" t="str">
        <f>IFERROR(IF(C32=INDEX(Worksheet!$M$9:$M$25,MATCH(C32,Worksheet!$M$9:$M$25,0)),SUM(D32:H32),""),"")</f>
        <v/>
      </c>
      <c r="M32" s="121">
        <f t="shared" si="0"/>
        <v>0</v>
      </c>
      <c r="N32" s="122"/>
      <c r="O32" s="122"/>
    </row>
    <row r="33" spans="2:15" hidden="1" x14ac:dyDescent="0.2">
      <c r="B33" s="80" t="str">
        <f>IF(C33="","",IFERROR(INDEX(Table7[Holidays],MATCH(C33,Table7[Date],0)),C33))</f>
        <v/>
      </c>
      <c r="C33" s="118" t="str">
        <f t="shared" si="2"/>
        <v/>
      </c>
      <c r="D33" s="119"/>
      <c r="E33" s="119"/>
      <c r="F33" s="119"/>
      <c r="G33" s="119"/>
      <c r="H33" s="119"/>
      <c r="I33" s="119"/>
      <c r="J33" s="119"/>
      <c r="K33" s="119"/>
      <c r="L33" s="120" t="str">
        <f>IFERROR(IF(C33=INDEX(Worksheet!$M$9:$M$25,MATCH(C33,Worksheet!$M$9:$M$25,0)),SUM(D33:H33),""),"")</f>
        <v/>
      </c>
      <c r="M33" s="121">
        <f t="shared" si="0"/>
        <v>0</v>
      </c>
      <c r="N33" s="122"/>
      <c r="O33" s="122"/>
    </row>
    <row r="34" spans="2:15" hidden="1" x14ac:dyDescent="0.2">
      <c r="B34" s="80" t="str">
        <f>IF(C34="","",IFERROR(INDEX(Table7[Holidays],MATCH(C34,Table7[Date],0)),C34))</f>
        <v/>
      </c>
      <c r="C34" s="118" t="str">
        <f t="shared" si="2"/>
        <v/>
      </c>
      <c r="D34" s="119"/>
      <c r="E34" s="119"/>
      <c r="F34" s="119"/>
      <c r="G34" s="119"/>
      <c r="H34" s="119"/>
      <c r="I34" s="119"/>
      <c r="J34" s="119"/>
      <c r="K34" s="119"/>
      <c r="L34" s="120" t="str">
        <f>IFERROR(IF(C34=INDEX(Worksheet!$M$9:$M$25,MATCH(C34,Worksheet!$M$9:$M$25,0)),SUM(D34:H34),""),"")</f>
        <v/>
      </c>
      <c r="M34" s="121">
        <f t="shared" si="0"/>
        <v>0</v>
      </c>
      <c r="N34" s="122"/>
      <c r="O34" s="122"/>
    </row>
    <row r="35" spans="2:15" hidden="1" x14ac:dyDescent="0.2">
      <c r="B35" s="80" t="str">
        <f>IF(C35="","",IFERROR(INDEX(Table7[Holidays],MATCH(C35,Table7[Date],0)),C35))</f>
        <v/>
      </c>
      <c r="C35" s="118" t="str">
        <f t="shared" si="2"/>
        <v/>
      </c>
      <c r="D35" s="119"/>
      <c r="E35" s="119"/>
      <c r="F35" s="119"/>
      <c r="G35" s="119"/>
      <c r="H35" s="119"/>
      <c r="I35" s="119"/>
      <c r="J35" s="119"/>
      <c r="K35" s="119"/>
      <c r="L35" s="120" t="str">
        <f>IFERROR(IF(C35=INDEX(Worksheet!$M$9:$M$25,MATCH(C35,Worksheet!$M$9:$M$25,0)),SUM(D35:H35),""),"")</f>
        <v/>
      </c>
      <c r="M35" s="121">
        <f t="shared" si="0"/>
        <v>0</v>
      </c>
      <c r="N35" s="122"/>
      <c r="O35" s="122"/>
    </row>
    <row r="36" spans="2:15" hidden="1" x14ac:dyDescent="0.2">
      <c r="B36" s="80" t="str">
        <f>IF(C36="","",IFERROR(INDEX(Table7[Holidays],MATCH(C36,Table7[Date],0)),C36))</f>
        <v/>
      </c>
      <c r="C36" s="118" t="str">
        <f t="shared" si="2"/>
        <v/>
      </c>
      <c r="D36" s="119"/>
      <c r="E36" s="119"/>
      <c r="F36" s="119"/>
      <c r="G36" s="119"/>
      <c r="H36" s="119"/>
      <c r="I36" s="119"/>
      <c r="J36" s="119"/>
      <c r="K36" s="119"/>
      <c r="L36" s="120" t="str">
        <f>IFERROR(IF(C36=INDEX(Worksheet!$M$9:$M$25,MATCH(C36,Worksheet!$M$9:$M$25,0)),SUM(D36:H36),""),"")</f>
        <v/>
      </c>
      <c r="M36" s="121">
        <f t="shared" si="0"/>
        <v>0</v>
      </c>
      <c r="N36" s="122"/>
      <c r="O36" s="122"/>
    </row>
    <row r="37" spans="2:15" x14ac:dyDescent="0.2">
      <c r="B37" s="105" t="s">
        <v>7</v>
      </c>
      <c r="C37" s="105"/>
      <c r="D37" s="131">
        <f>SUM(D6:D36)</f>
        <v>0</v>
      </c>
      <c r="E37" s="131">
        <f t="shared" ref="E37:L37" si="3">SUM(E6:E36)</f>
        <v>0</v>
      </c>
      <c r="F37" s="131">
        <f t="shared" si="3"/>
        <v>0</v>
      </c>
      <c r="G37" s="131">
        <f t="shared" si="3"/>
        <v>0</v>
      </c>
      <c r="H37" s="131">
        <f t="shared" si="3"/>
        <v>0</v>
      </c>
      <c r="I37" s="131">
        <f t="shared" si="3"/>
        <v>0</v>
      </c>
      <c r="J37" s="131">
        <f t="shared" si="3"/>
        <v>0</v>
      </c>
      <c r="K37" s="131">
        <f t="shared" si="3"/>
        <v>0</v>
      </c>
      <c r="L37" s="131">
        <f t="shared" si="3"/>
        <v>0</v>
      </c>
      <c r="M37" s="131">
        <f>SUM(M6:M36)</f>
        <v>0</v>
      </c>
      <c r="N37" s="131"/>
      <c r="O37" s="131"/>
    </row>
    <row r="38" spans="2:15" x14ac:dyDescent="0.2">
      <c r="B38" s="83"/>
      <c r="C38" s="83"/>
      <c r="D38" s="136"/>
      <c r="E38" s="136"/>
      <c r="F38" s="137"/>
      <c r="G38" s="137"/>
      <c r="H38" s="138"/>
      <c r="I38" s="138"/>
      <c r="J38" s="138"/>
      <c r="K38" s="138"/>
      <c r="L38" s="138" t="s">
        <v>8</v>
      </c>
      <c r="M38" s="138">
        <f>SUM(D37:H37)</f>
        <v>0</v>
      </c>
      <c r="N38" s="136"/>
      <c r="O38" s="136"/>
    </row>
    <row r="39" spans="2:15" hidden="1" x14ac:dyDescent="0.2">
      <c r="B39" s="83"/>
      <c r="C39" s="83"/>
      <c r="D39" s="136"/>
      <c r="E39" s="136"/>
      <c r="F39" s="137"/>
      <c r="G39" s="137"/>
      <c r="H39" s="138"/>
      <c r="I39" s="138"/>
      <c r="J39" s="138"/>
      <c r="K39" s="138"/>
      <c r="L39" s="138"/>
      <c r="M39" s="138"/>
      <c r="N39" s="89"/>
      <c r="O39" s="139"/>
    </row>
    <row r="40" spans="2:15" hidden="1" x14ac:dyDescent="0.2">
      <c r="B40" s="83"/>
      <c r="C40" s="83"/>
      <c r="D40" s="136"/>
      <c r="E40" s="136"/>
      <c r="F40" s="137"/>
      <c r="G40" s="137"/>
      <c r="H40" s="138"/>
      <c r="I40" s="140"/>
      <c r="J40" s="140"/>
      <c r="K40" s="140"/>
      <c r="L40" s="140"/>
      <c r="M40" s="139"/>
      <c r="N40" s="57"/>
      <c r="O40" s="57"/>
    </row>
    <row r="41" spans="2:15" ht="19.5" x14ac:dyDescent="0.25">
      <c r="B41" s="82" t="s">
        <v>0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57"/>
      <c r="N41" s="57"/>
      <c r="O41" s="57"/>
    </row>
    <row r="42" spans="2:15" x14ac:dyDescent="0.2">
      <c r="B42" s="83"/>
      <c r="C42" s="83"/>
      <c r="D42" s="136"/>
      <c r="E42" s="136"/>
      <c r="F42" s="137"/>
      <c r="G42" s="137"/>
      <c r="H42" s="140"/>
      <c r="I42" s="142"/>
      <c r="J42" s="140"/>
      <c r="K42" s="140"/>
      <c r="L42" s="140"/>
      <c r="M42" s="57"/>
      <c r="N42" s="57"/>
      <c r="O42" s="57"/>
    </row>
    <row r="43" spans="2:15" hidden="1" x14ac:dyDescent="0.2">
      <c r="B43" s="83"/>
      <c r="C43" s="83"/>
      <c r="D43" s="136"/>
      <c r="E43" s="136"/>
      <c r="F43" s="137"/>
      <c r="G43" s="137"/>
      <c r="H43" s="140"/>
      <c r="I43" s="142"/>
      <c r="J43" s="140"/>
      <c r="K43" s="140"/>
      <c r="L43" s="140"/>
      <c r="M43" s="57"/>
      <c r="N43" s="57"/>
      <c r="O43" s="57"/>
    </row>
    <row r="44" spans="2:15" x14ac:dyDescent="0.2">
      <c r="B44" s="82" t="s">
        <v>1</v>
      </c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57"/>
      <c r="N44" s="57"/>
      <c r="O44" s="57"/>
    </row>
    <row r="45" spans="2:15" x14ac:dyDescent="0.2">
      <c r="D45" s="136"/>
      <c r="E45" s="136"/>
      <c r="F45" s="137"/>
      <c r="G45" s="137"/>
      <c r="H45" s="140"/>
      <c r="L45" s="138"/>
      <c r="M45" s="57"/>
      <c r="N45" s="57"/>
      <c r="O45" s="57"/>
    </row>
    <row r="46" spans="2:15" hidden="1" x14ac:dyDescent="0.2">
      <c r="B46" s="83"/>
      <c r="C46" s="83"/>
      <c r="D46" s="136"/>
      <c r="E46" s="136"/>
      <c r="F46" s="137"/>
      <c r="G46" s="137"/>
      <c r="H46" s="140"/>
      <c r="I46" s="140"/>
      <c r="J46" s="140"/>
      <c r="K46" s="140"/>
      <c r="L46" s="140"/>
      <c r="M46" s="57"/>
      <c r="N46" s="57"/>
      <c r="O46" s="57"/>
    </row>
    <row r="47" spans="2:15" hidden="1" x14ac:dyDescent="0.2">
      <c r="B47" s="89"/>
      <c r="C47" s="89"/>
      <c r="D47" s="89"/>
      <c r="E47" s="89"/>
      <c r="F47" s="89"/>
      <c r="G47" s="89"/>
      <c r="H47" s="140"/>
      <c r="I47" s="142"/>
      <c r="J47" s="140"/>
      <c r="K47" s="140"/>
      <c r="L47" s="140"/>
      <c r="M47" s="57"/>
      <c r="N47" s="57"/>
      <c r="O47" s="57"/>
    </row>
    <row r="48" spans="2:15" hidden="1" x14ac:dyDescent="0.2">
      <c r="B48" s="84"/>
      <c r="C48" s="84"/>
      <c r="D48" s="85"/>
      <c r="E48" s="85"/>
      <c r="F48" s="85"/>
      <c r="G48" s="85"/>
      <c r="H48" s="100"/>
      <c r="I48" s="100"/>
      <c r="J48" s="100"/>
      <c r="K48" s="100"/>
      <c r="L48" s="150"/>
      <c r="M48" s="57"/>
      <c r="N48" s="57"/>
      <c r="O48" s="57"/>
    </row>
    <row r="49" spans="1:15" s="85" customFormat="1" ht="60" x14ac:dyDescent="0.2">
      <c r="A49" s="96"/>
      <c r="B49" s="84"/>
      <c r="C49" s="97">
        <f t="shared" ref="C49:H49" si="4">C5</f>
        <v>0</v>
      </c>
      <c r="D49" s="97" t="str">
        <f t="shared" si="4"/>
        <v>ENTER POSITION IN THIS CELL</v>
      </c>
      <c r="E49" s="97" t="str">
        <f t="shared" si="4"/>
        <v>ENTER POSITION IN THIS CELL</v>
      </c>
      <c r="F49" s="97" t="str">
        <f t="shared" si="4"/>
        <v>ENTER POSITION IN THIS CELL</v>
      </c>
      <c r="G49" s="97">
        <f t="shared" si="4"/>
        <v>0</v>
      </c>
      <c r="H49" s="97">
        <f t="shared" si="4"/>
        <v>0</v>
      </c>
      <c r="I49" s="98" t="s">
        <v>10</v>
      </c>
      <c r="J49" s="98" t="s">
        <v>11</v>
      </c>
      <c r="K49" s="98" t="s">
        <v>5</v>
      </c>
      <c r="L49" s="99" t="s">
        <v>6</v>
      </c>
      <c r="M49" s="100"/>
      <c r="N49" s="84" t="s">
        <v>9</v>
      </c>
    </row>
    <row r="50" spans="1:15" s="85" customFormat="1" ht="45" x14ac:dyDescent="0.2">
      <c r="A50" s="96"/>
      <c r="B50" s="84" t="s">
        <v>12</v>
      </c>
      <c r="C50" s="84"/>
      <c r="H50" s="100"/>
      <c r="I50" s="98"/>
      <c r="J50" s="98"/>
      <c r="K50" s="98"/>
      <c r="L50" s="99"/>
      <c r="M50" s="100">
        <f>'Apr-May'!M55</f>
        <v>0</v>
      </c>
      <c r="N50" s="84"/>
    </row>
    <row r="51" spans="1:15" s="85" customFormat="1" x14ac:dyDescent="0.2">
      <c r="A51" s="96"/>
      <c r="B51" s="84" t="s">
        <v>13</v>
      </c>
      <c r="C51" s="84"/>
      <c r="D51" s="100">
        <f>SUMIF($C$6:$C$36,"&lt;="&amp;$C$6+(7-WEEKDAY($C$6))+(RIGHT($B51,1)*7)-7,D$6:D$36)-SUM(D$50:D50)</f>
        <v>0</v>
      </c>
      <c r="E51" s="100">
        <f>SUMIF($C$6:$C$36,"&lt;="&amp;$C$6+(7-WEEKDAY($C$6))+(RIGHT($B51,1)*7)-7,E$6:E$36)-SUM(E$50:E50)</f>
        <v>0</v>
      </c>
      <c r="F51" s="100">
        <f>SUMIF($C$6:$C$36,"&lt;="&amp;$C$6+(7-WEEKDAY($C$6))+(RIGHT($B51,1)*7)-7,F$6:F$36)-SUM(F$50:F50)</f>
        <v>0</v>
      </c>
      <c r="G51" s="100">
        <f>SUMIF($C$6:$C$36,"&lt;="&amp;$C$6+(7-WEEKDAY($C$6))+(RIGHT($B51,1)*7)-7,G$6:G$36)-SUM(G$50:G50)</f>
        <v>0</v>
      </c>
      <c r="H51" s="100">
        <f>SUMIF($C$6:$C$36,"&lt;="&amp;$C$6+(7-WEEKDAY($C$6))+(RIGHT($B51,1)*7)-7,H$6:H$36)-SUM(H$50:H50)</f>
        <v>0</v>
      </c>
      <c r="I51" s="100">
        <f>SUMIF($C$6:$C$36,"&lt;="&amp;$C$6+(7-WEEKDAY($C$6))+(RIGHT(B51,1)*7)-7,$I$6:$I$36)-SUM(I$50:I50)</f>
        <v>0</v>
      </c>
      <c r="J51" s="100">
        <f>SUMIF($C$6:$C$36,"&lt;="&amp;$C$6+(7-WEEKDAY($C$6))+(RIGHT(B51,1)*7)-7,$J$6:$J$36)-SUM(J$50:J50)</f>
        <v>0</v>
      </c>
      <c r="K51" s="100">
        <f>SUMIF($C$6:$C$36,"&lt;="&amp;$C$6+(7-WEEKDAY($C$6))+(RIGHT(B51,1)*7)-7,$K$6:$K$36)-SUM(K$50:K50)</f>
        <v>0</v>
      </c>
      <c r="L51" s="150">
        <f>SUMIF($C$6:$C$36,"&lt;="&amp;$C$6+(7-WEEKDAY($C$6))+(RIGHT(B51,1)*7)-7,$L$6:$L$36)-SUM(L$49:L50)</f>
        <v>0</v>
      </c>
      <c r="M51" s="100">
        <f>SUM(D51:H51)</f>
        <v>0</v>
      </c>
      <c r="N51" s="100">
        <f>(M51+M50)-I51-J51-K51-L51-40</f>
        <v>-40</v>
      </c>
    </row>
    <row r="52" spans="1:15" s="85" customFormat="1" x14ac:dyDescent="0.2">
      <c r="A52" s="96"/>
      <c r="B52" s="84" t="s">
        <v>14</v>
      </c>
      <c r="C52" s="84"/>
      <c r="D52" s="100">
        <f>SUMIF($C$6:$C$36,"&lt;="&amp;$C$6+(7-WEEKDAY($C$6))+(RIGHT($B52,1)*7)-7,D$6:D$36)-SUM(D$50:D51)</f>
        <v>0</v>
      </c>
      <c r="E52" s="100">
        <f>SUMIF($C$6:$C$36,"&lt;="&amp;$C$6+(7-WEEKDAY($C$6))+(RIGHT($B52,1)*7)-7,E$6:E$36)-SUM(E$50:E51)</f>
        <v>0</v>
      </c>
      <c r="F52" s="100">
        <f>SUMIF($C$6:$C$36,"&lt;="&amp;$C$6+(7-WEEKDAY($C$6))+(RIGHT($B52,1)*7)-7,F$6:F$36)-SUM(F$50:F51)</f>
        <v>0</v>
      </c>
      <c r="G52" s="100">
        <f>SUMIF($C$6:$C$36,"&lt;="&amp;$C$6+(7-WEEKDAY($C$6))+(RIGHT($B52,1)*7)-7,G$6:G$36)-SUM(G$50:G51)</f>
        <v>0</v>
      </c>
      <c r="H52" s="100">
        <f>SUMIF($C$6:$C$36,"&lt;="&amp;$C$6+(7-WEEKDAY($C$6))+(RIGHT($B52,1)*7)-7,H$6:H$36)-SUM(H$50:H51)</f>
        <v>0</v>
      </c>
      <c r="I52" s="100">
        <f>SUMIF($C$6:$C$36,"&lt;="&amp;$C$6+(7-WEEKDAY($C$6))+(RIGHT(B52,1)*7)-7,$I$6:$I$36)-SUM(I$50:I51)</f>
        <v>0</v>
      </c>
      <c r="J52" s="100">
        <f>SUMIF($C$6:$C$36,"&lt;="&amp;$C$6+(7-WEEKDAY($C$6))+(RIGHT(B52,1)*7)-7,$J$6:$J$36)-SUM(J$50:J51)</f>
        <v>0</v>
      </c>
      <c r="K52" s="100">
        <f>SUMIF($C$6:$C$36,"&lt;="&amp;$C$6+(7-WEEKDAY($C$6))+(RIGHT(B52,1)*7)-7,$K$6:$K$36)-SUM(K$50:K51)</f>
        <v>0</v>
      </c>
      <c r="L52" s="150">
        <f>SUMIF($C$6:$C$36,"&lt;="&amp;$C$6+(7-WEEKDAY($C$6))+(RIGHT(B52,1)*7)-7,$L$6:$L$36)-SUM(L$49:L51)</f>
        <v>0</v>
      </c>
      <c r="M52" s="100">
        <f>SUM(D52:H52)</f>
        <v>0</v>
      </c>
      <c r="N52" s="100">
        <f>M52-I52-J52-K52-L52-40</f>
        <v>-40</v>
      </c>
    </row>
    <row r="53" spans="1:15" s="85" customFormat="1" x14ac:dyDescent="0.2">
      <c r="A53" s="96"/>
      <c r="B53" s="84" t="s">
        <v>15</v>
      </c>
      <c r="C53" s="84"/>
      <c r="D53" s="100">
        <f>SUMIF($C$6:$C$36,"&lt;="&amp;$C$6+(7-WEEKDAY($C$6))+(RIGHT($B53,1)*7)-7,D$6:D$36)-SUM(D$50:D52)</f>
        <v>0</v>
      </c>
      <c r="E53" s="100">
        <f>SUMIF($C$6:$C$36,"&lt;="&amp;$C$6+(7-WEEKDAY($C$6))+(RIGHT($B53,1)*7)-7,E$6:E$36)-SUM(E$50:E52)</f>
        <v>0</v>
      </c>
      <c r="F53" s="100">
        <f>SUMIF($C$6:$C$36,"&lt;="&amp;$C$6+(7-WEEKDAY($C$6))+(RIGHT($B53,1)*7)-7,F$6:F$36)-SUM(F$50:F52)</f>
        <v>0</v>
      </c>
      <c r="G53" s="100">
        <f>SUMIF($C$6:$C$36,"&lt;="&amp;$C$6+(7-WEEKDAY($C$6))+(RIGHT($B53,1)*7)-7,G$6:G$36)-SUM(G$50:G52)</f>
        <v>0</v>
      </c>
      <c r="H53" s="100">
        <f>SUMIF($C$6:$C$36,"&lt;="&amp;$C$6+(7-WEEKDAY($C$6))+(RIGHT($B53,1)*7)-7,H$6:H$36)-SUM(H$50:H52)</f>
        <v>0</v>
      </c>
      <c r="I53" s="100">
        <f>SUMIF($C$6:$C$36,"&lt;="&amp;$C$6+(7-WEEKDAY($C$6))+(RIGHT(B53,1)*7)-7,$I$6:$I$36)-SUM(I$50:I52)</f>
        <v>0</v>
      </c>
      <c r="J53" s="100">
        <f>SUMIF($C$6:$C$36,"&lt;="&amp;$C$6+(7-WEEKDAY($C$6))+(RIGHT(B53,1)*7)-7,$J$6:$J$36)-SUM(J$50:J52)</f>
        <v>0</v>
      </c>
      <c r="K53" s="100">
        <f>SUMIF($C$6:$C$36,"&lt;="&amp;$C$6+(7-WEEKDAY($C$6))+(RIGHT(B53,1)*7)-7,$K$6:$K$36)-SUM(K$50:K52)</f>
        <v>0</v>
      </c>
      <c r="L53" s="150">
        <f>SUMIF($C$6:$C$36,"&lt;="&amp;$C$6+(7-WEEKDAY($C$6))+(RIGHT(B53,1)*7)-7,$L$6:$L$36)-SUM(L$49:L52)</f>
        <v>0</v>
      </c>
      <c r="M53" s="100">
        <f>SUM(D53:H53)</f>
        <v>0</v>
      </c>
      <c r="N53" s="100">
        <f>M53-I53-J53-K53-L53-40</f>
        <v>-40</v>
      </c>
    </row>
    <row r="54" spans="1:15" s="85" customFormat="1" x14ac:dyDescent="0.2">
      <c r="A54" s="96"/>
      <c r="B54" s="84" t="s">
        <v>16</v>
      </c>
      <c r="C54" s="84"/>
      <c r="D54" s="100">
        <f>SUMIF($C$6:$C$36,"&lt;="&amp;$C$6+(7-WEEKDAY($C$6))+(RIGHT($B54,1)*7)-7,D$6:D$36)-SUM(D$50:D53)</f>
        <v>0</v>
      </c>
      <c r="E54" s="100">
        <f>SUMIF($C$6:$C$36,"&lt;="&amp;$C$6+(7-WEEKDAY($C$6))+(RIGHT($B54,1)*7)-7,E$6:E$36)-SUM(E$50:E53)</f>
        <v>0</v>
      </c>
      <c r="F54" s="100">
        <f>SUMIF($C$6:$C$36,"&lt;="&amp;$C$6+(7-WEEKDAY($C$6))+(RIGHT($B54,1)*7)-7,F$6:F$36)-SUM(F$50:F53)</f>
        <v>0</v>
      </c>
      <c r="G54" s="100">
        <f>SUMIF($C$6:$C$36,"&lt;="&amp;$C$6+(7-WEEKDAY($C$6))+(RIGHT($B54,1)*7)-7,G$6:G$36)-SUM(G$50:G53)</f>
        <v>0</v>
      </c>
      <c r="H54" s="100">
        <f>SUMIF($C$6:$C$36,"&lt;="&amp;$C$6+(7-WEEKDAY($C$6))+(RIGHT($B54,1)*7)-7,H$6:H$36)-SUM(H$50:H53)</f>
        <v>0</v>
      </c>
      <c r="I54" s="100">
        <f>SUMIF($C$6:$C$36,"&lt;="&amp;$C$6+(7-WEEKDAY($C$6))+(RIGHT(B54,1)*7)-7,$I$6:$I$36)-SUM(I$50:I53)</f>
        <v>0</v>
      </c>
      <c r="J54" s="100">
        <f>SUMIF($C$6:$C$36,"&lt;="&amp;$C$6+(7-WEEKDAY($C$6))+(RIGHT(B54,1)*7)-7,$J$6:$J$36)-SUM(J$50:J53)</f>
        <v>0</v>
      </c>
      <c r="K54" s="100">
        <f>SUMIF($C$6:$C$36,"&lt;="&amp;$C$6+(7-WEEKDAY($C$6))+(RIGHT(B54,1)*7)-7,$K$6:$K$36)-SUM(K$50:K53)</f>
        <v>0</v>
      </c>
      <c r="L54" s="150">
        <f>SUMIF($C$6:$C$36,"&lt;="&amp;$C$6+(7-WEEKDAY($C$6))+(RIGHT(B54,1)*7)-7,$L$6:$L$36)-SUM(L$49:L53)</f>
        <v>0</v>
      </c>
      <c r="M54" s="100">
        <f>SUM(D54:H54)</f>
        <v>0</v>
      </c>
      <c r="N54" s="100">
        <f>M54-I54-J54-K54-L54-40</f>
        <v>-40</v>
      </c>
    </row>
    <row r="55" spans="1:15" s="85" customFormat="1" x14ac:dyDescent="0.2">
      <c r="A55" s="96"/>
      <c r="B55" s="84" t="s">
        <v>17</v>
      </c>
      <c r="C55" s="84"/>
      <c r="D55" s="100">
        <f>SUMIF($C$6:$C$36,"&lt;="&amp;$C$6+(7-WEEKDAY($C$6))+(RIGHT($B55,1)*7)-7,D$6:D$36)-SUM(D$50:D54)</f>
        <v>0</v>
      </c>
      <c r="E55" s="100">
        <f>SUMIF($C$6:$C$36,"&lt;="&amp;$C$6+(7-WEEKDAY($C$6))+(RIGHT($B55,1)*7)-7,E$6:E$36)-SUM(E$50:E54)</f>
        <v>0</v>
      </c>
      <c r="F55" s="100">
        <f>SUMIF($C$6:$C$36,"&lt;="&amp;$C$6+(7-WEEKDAY($C$6))+(RIGHT($B55,1)*7)-7,F$6:F$36)-SUM(F$50:F54)</f>
        <v>0</v>
      </c>
      <c r="G55" s="100">
        <f>SUMIF($C$6:$C$36,"&lt;="&amp;$C$6+(7-WEEKDAY($C$6))+(RIGHT($B55,1)*7)-7,G$6:G$36)-SUM(G$50:G54)</f>
        <v>0</v>
      </c>
      <c r="H55" s="100">
        <f>SUMIF($C$6:$C$36,"&lt;="&amp;$C$6+(7-WEEKDAY($C$6))+(RIGHT($B55,1)*7)-7,H$6:H$36)-SUM(H$50:H54)</f>
        <v>0</v>
      </c>
      <c r="I55" s="100">
        <f>SUMIF($C$6:$C$36,"&lt;="&amp;$C$6+(7-WEEKDAY($C$6))+(RIGHT(B55,1)*7)-7,$I$6:$I$36)-SUM(I$50:I54)</f>
        <v>0</v>
      </c>
      <c r="J55" s="100">
        <f>SUMIF($C$6:$C$36,"&lt;="&amp;$C$6+(7-WEEKDAY($C$6))+(RIGHT(B55,1)*7)-7,$J$6:$J$36)-SUM(J$50:J54)</f>
        <v>0</v>
      </c>
      <c r="K55" s="100">
        <f>SUMIF($C$6:$C$36,"&lt;="&amp;$C$6+(7-WEEKDAY($C$6))+(RIGHT(B55,1)*7)-7,$K$6:$K$36)-SUM(K$50:K54)</f>
        <v>0</v>
      </c>
      <c r="L55" s="150">
        <f>SUMIF($C$6:$C$36,"&lt;="&amp;$C$6+(7-WEEKDAY($C$6))+(RIGHT(B55,1)*7)-7,$L$6:$L$36)-SUM(L$49:L54)</f>
        <v>0</v>
      </c>
      <c r="M55" s="100">
        <f>SUM(D55:H55)</f>
        <v>0</v>
      </c>
      <c r="N55" s="100">
        <f>M55-I55-J55-K55-L55-40</f>
        <v>-40</v>
      </c>
    </row>
    <row r="56" spans="1:15" s="85" customFormat="1" x14ac:dyDescent="0.2">
      <c r="A56" s="96"/>
      <c r="B56" s="84"/>
      <c r="C56" s="84"/>
      <c r="D56" s="100"/>
      <c r="E56" s="100"/>
      <c r="F56" s="100"/>
      <c r="G56" s="100"/>
      <c r="H56" s="100"/>
      <c r="I56" s="100"/>
      <c r="J56" s="100"/>
      <c r="K56" s="100"/>
      <c r="L56" s="150"/>
      <c r="M56" s="100"/>
    </row>
    <row r="57" spans="1:15" s="85" customFormat="1" x14ac:dyDescent="0.2">
      <c r="A57" s="96"/>
      <c r="B57" s="84" t="s">
        <v>18</v>
      </c>
      <c r="C57" s="84"/>
      <c r="D57" s="100">
        <f t="shared" ref="D57" si="5">SUM(D51:D55)</f>
        <v>0</v>
      </c>
      <c r="E57" s="100">
        <f t="shared" ref="E57:L57" si="6">SUM(E51:E55)</f>
        <v>0</v>
      </c>
      <c r="F57" s="100">
        <f t="shared" si="6"/>
        <v>0</v>
      </c>
      <c r="G57" s="100">
        <f t="shared" si="6"/>
        <v>0</v>
      </c>
      <c r="H57" s="100">
        <f t="shared" si="6"/>
        <v>0</v>
      </c>
      <c r="I57" s="100">
        <f t="shared" si="6"/>
        <v>0</v>
      </c>
      <c r="J57" s="100">
        <f t="shared" si="6"/>
        <v>0</v>
      </c>
      <c r="K57" s="100">
        <f t="shared" si="6"/>
        <v>0</v>
      </c>
      <c r="L57" s="150">
        <f t="shared" si="6"/>
        <v>0</v>
      </c>
      <c r="M57" s="100">
        <f>SUM(M51:M55)</f>
        <v>0</v>
      </c>
      <c r="N57" s="85">
        <f>SUMIF(N51:N55,"&gt;0")</f>
        <v>0</v>
      </c>
    </row>
    <row r="58" spans="1:15" s="85" customFormat="1" x14ac:dyDescent="0.2">
      <c r="A58" s="96"/>
      <c r="B58" s="84"/>
      <c r="C58" s="84"/>
      <c r="D58" s="100"/>
      <c r="E58" s="100"/>
      <c r="F58" s="100"/>
      <c r="G58" s="100"/>
      <c r="H58" s="100"/>
      <c r="I58" s="100"/>
      <c r="J58" s="100"/>
      <c r="K58" s="100"/>
      <c r="L58" s="150"/>
      <c r="M58" s="100"/>
    </row>
    <row r="59" spans="1:15" s="85" customFormat="1" x14ac:dyDescent="0.2">
      <c r="A59" s="96"/>
      <c r="B59" s="84" t="s">
        <v>8</v>
      </c>
      <c r="C59" s="84"/>
      <c r="D59" s="100">
        <f>D37</f>
        <v>0</v>
      </c>
      <c r="E59" s="100">
        <f t="shared" ref="E59:L59" si="7">E57-E37</f>
        <v>0</v>
      </c>
      <c r="F59" s="100">
        <f t="shared" si="7"/>
        <v>0</v>
      </c>
      <c r="G59" s="100">
        <f t="shared" si="7"/>
        <v>0</v>
      </c>
      <c r="H59" s="100">
        <f t="shared" si="7"/>
        <v>0</v>
      </c>
      <c r="I59" s="100">
        <f t="shared" si="7"/>
        <v>0</v>
      </c>
      <c r="J59" s="100">
        <f t="shared" si="7"/>
        <v>0</v>
      </c>
      <c r="K59" s="100">
        <f t="shared" si="7"/>
        <v>0</v>
      </c>
      <c r="L59" s="100">
        <f t="shared" si="7"/>
        <v>0</v>
      </c>
      <c r="M59" s="100">
        <f>M57-M37</f>
        <v>0</v>
      </c>
    </row>
    <row r="60" spans="1:15" s="85" customFormat="1" x14ac:dyDescent="0.2">
      <c r="A60" s="96"/>
      <c r="H60" s="100"/>
      <c r="I60" s="100"/>
      <c r="J60" s="100"/>
      <c r="K60" s="100"/>
      <c r="L60" s="150"/>
      <c r="M60" s="100"/>
    </row>
    <row r="61" spans="1:15" s="85" customFormat="1" x14ac:dyDescent="0.2">
      <c r="A61" s="96"/>
      <c r="H61" s="100"/>
      <c r="I61" s="100"/>
      <c r="J61" s="100"/>
      <c r="K61" s="100"/>
      <c r="L61" s="100"/>
      <c r="M61" s="100"/>
      <c r="O61" s="150"/>
    </row>
    <row r="62" spans="1:15" s="85" customFormat="1" x14ac:dyDescent="0.2">
      <c r="A62" s="96"/>
      <c r="H62" s="100"/>
      <c r="I62" s="100"/>
      <c r="J62" s="100"/>
      <c r="K62" s="100"/>
      <c r="L62" s="100"/>
      <c r="M62" s="100"/>
      <c r="O62" s="150"/>
    </row>
    <row r="63" spans="1:15" s="85" customFormat="1" x14ac:dyDescent="0.2">
      <c r="A63" s="96"/>
      <c r="H63" s="100"/>
      <c r="I63" s="100"/>
      <c r="J63" s="100"/>
      <c r="K63" s="100"/>
      <c r="L63" s="100"/>
      <c r="M63" s="100"/>
      <c r="O63" s="150"/>
    </row>
    <row r="64" spans="1:15" s="85" customFormat="1" x14ac:dyDescent="0.2">
      <c r="A64" s="96"/>
      <c r="H64" s="100"/>
      <c r="I64" s="100"/>
      <c r="J64" s="100"/>
      <c r="K64" s="100"/>
      <c r="L64" s="100"/>
      <c r="M64" s="100"/>
      <c r="O64" s="150"/>
    </row>
    <row r="65" spans="1:15" s="85" customFormat="1" x14ac:dyDescent="0.2">
      <c r="A65" s="96"/>
      <c r="B65" s="57"/>
      <c r="C65" s="57"/>
      <c r="D65" s="57"/>
      <c r="E65" s="57"/>
      <c r="F65" s="57"/>
      <c r="G65" s="57"/>
      <c r="H65" s="144"/>
      <c r="I65" s="100"/>
      <c r="J65" s="100"/>
      <c r="K65" s="100"/>
      <c r="L65" s="144"/>
      <c r="M65" s="144"/>
      <c r="N65" s="57"/>
      <c r="O65" s="150"/>
    </row>
    <row r="66" spans="1:15" s="85" customFormat="1" x14ac:dyDescent="0.2">
      <c r="A66" s="96"/>
      <c r="B66" s="57"/>
      <c r="C66" s="57"/>
      <c r="D66" s="57"/>
      <c r="E66" s="57"/>
      <c r="F66" s="57"/>
      <c r="G66" s="57"/>
      <c r="H66" s="144"/>
      <c r="I66" s="100"/>
      <c r="J66" s="100"/>
      <c r="K66" s="100"/>
      <c r="L66" s="144"/>
      <c r="M66" s="144"/>
      <c r="N66" s="57"/>
      <c r="O66" s="150"/>
    </row>
    <row r="67" spans="1:15" x14ac:dyDescent="0.2">
      <c r="I67" s="100"/>
      <c r="J67" s="100"/>
      <c r="K67" s="100"/>
      <c r="L67" s="144"/>
      <c r="M67" s="144"/>
      <c r="N67" s="57"/>
    </row>
    <row r="68" spans="1:15" x14ac:dyDescent="0.2">
      <c r="I68" s="100"/>
      <c r="J68" s="100"/>
      <c r="K68" s="100"/>
      <c r="L68" s="144"/>
      <c r="M68" s="144"/>
      <c r="N68" s="57"/>
    </row>
    <row r="69" spans="1:15" x14ac:dyDescent="0.2">
      <c r="I69" s="100"/>
      <c r="J69" s="100"/>
      <c r="K69" s="100"/>
      <c r="L69" s="144"/>
      <c r="M69" s="144"/>
      <c r="N69" s="57"/>
    </row>
  </sheetData>
  <sheetProtection formatCells="0" formatColumns="0" formatRows="0"/>
  <mergeCells count="6">
    <mergeCell ref="C44:L44"/>
    <mergeCell ref="B1:O1"/>
    <mergeCell ref="B2:O2"/>
    <mergeCell ref="B3:O3"/>
    <mergeCell ref="B4:O4"/>
    <mergeCell ref="C41:L41"/>
  </mergeCells>
  <conditionalFormatting sqref="C44">
    <cfRule type="cellIs" dxfId="152" priority="74" operator="between">
      <formula>0</formula>
      <formula>0</formula>
    </cfRule>
  </conditionalFormatting>
  <conditionalFormatting sqref="M6:M36">
    <cfRule type="cellIs" dxfId="151" priority="23" stopIfTrue="1" operator="between">
      <formula>0</formula>
      <formula>0</formula>
    </cfRule>
  </conditionalFormatting>
  <dataValidations count="1">
    <dataValidation type="list" allowBlank="1" showInputMessage="1" showErrorMessage="1" sqref="C41:L41" xr:uid="{F6A02BA0-C848-482A-874A-78A3EBC4859C}">
      <formula1>EEList</formula1>
    </dataValidation>
  </dataValidations>
  <pageMargins left="0.2" right="0.2" top="0.5" bottom="0.25" header="0.3" footer="0.3"/>
  <pageSetup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1581627-7358-4FCB-B248-9347EDC57E8F}">
            <xm:f>$B$1=Worksheet!$K$6</xm:f>
            <x14:dxf>
              <fill>
                <patternFill>
                  <bgColor theme="4" tint="0.39994506668294322"/>
                </patternFill>
              </fill>
            </x14:dxf>
          </x14:cfRule>
          <x14:cfRule type="expression" priority="19" stopIfTrue="1" id="{606EDCB9-1684-4B7A-B5FB-19336D61A06C}">
            <xm:f>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0" stopIfTrue="1" id="{7ED3B643-E0B4-4A2D-969B-50B98097DE93}">
            <xm:f>$B$1=Worksheet!$K$3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21" stopIfTrue="1" id="{EC1AA02C-E7FC-4697-9593-A64FC57B35F7}">
            <xm:f>$B$1=Worksheet!$K$4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22" stopIfTrue="1" id="{65170C7C-179E-419C-AACD-8EB73340D5D5}">
            <xm:f>Worksheet!$K$3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5" stopIfTrue="1" id="{FB98DC2C-6E25-407A-82DB-A1996618B943}">
            <xm:f>$B$1=Worksheet!$K$2</xm:f>
            <x14:dxf>
              <fill>
                <patternFill>
                  <bgColor theme="4" tint="0.59996337778862885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8" id="{1B41908C-B9C9-4EFB-937F-1A5F415B0AD5}">
            <xm:f>$B$1=Worksheet!$K$5</xm:f>
            <x14:dxf>
              <fill>
                <patternFill>
                  <bgColor theme="5" tint="0.39994506668294322"/>
                </patternFill>
              </fill>
            </x14:dxf>
          </x14:cfRule>
          <xm:sqref>B5:O5</xm:sqref>
        </x14:conditionalFormatting>
        <x14:conditionalFormatting xmlns:xm="http://schemas.microsoft.com/office/excel/2006/main">
          <x14:cfRule type="expression" priority="15" stopIfTrue="1" id="{F76C6E33-3F0B-4970-AB86-21BA2ADE058A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N6:O31 N33:O36</xm:sqref>
        </x14:conditionalFormatting>
        <x14:conditionalFormatting xmlns:xm="http://schemas.microsoft.com/office/excel/2006/main">
          <x14:cfRule type="expression" priority="14" stopIfTrue="1" id="{856E195A-2CE0-4233-A7A1-B6F6DFDC92B7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6" stopIfTrue="1" id="{5B64E210-7AA0-4DA8-8396-6C44C8421EEF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76" stopIfTrue="1" id="{0EC7331F-4C54-4135-B6FA-88EEB3E4F11D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77" id="{1E6D4B87-2AA9-4D8F-A90B-6A7B5FA6938C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N6:O31 N33:O36 B6:K36</xm:sqref>
        </x14:conditionalFormatting>
        <x14:conditionalFormatting xmlns:xm="http://schemas.microsoft.com/office/excel/2006/main">
          <x14:cfRule type="expression" priority="12" stopIfTrue="1" id="{B3D602A0-F9F2-4D20-9577-59B2533D9C4D}">
            <xm:f>IF(($B$1=Worksheet!$K$2),(WEEKDAY($C32,2)&gt;5),FALSE)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1" stopIfTrue="1" id="{FADEA474-8CB6-42A4-9B6D-2633EFDA2453}">
            <xm:f>IF(($B$1=Worksheet!$K$4),(WEEKDAY($C32,2)&gt;5),FALSE)</xm:f>
            <x14:dxf>
              <fill>
                <patternFill>
                  <bgColor theme="9" tint="0.59996337778862885"/>
                </patternFill>
              </fill>
            </x14:dxf>
          </x14:cfRule>
          <x14:cfRule type="expression" priority="13" stopIfTrue="1" id="{CB637408-CCAA-41D7-85CA-9A603D76F636}">
            <xm:f>IF(($B$1=Worksheet!$K$3),(WEEKDAY($C32,2)&gt;5),FALSE)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13" stopIfTrue="1" id="{57C1BA15-85AE-430A-A89B-49B7F8B6BC15}">
            <xm:f>AND(WEEKDAY($C32-1)=1, $C32-1=Worksheet!$M$9)</xm:f>
            <x14:dxf>
              <fill>
                <patternFill>
                  <bgColor theme="2" tint="-0.24994659260841701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10" id="{B29DD4C4-6078-4934-9C3D-0A3ECE02CA0C}">
            <xm:f>IF(($B$1=Worksheet!$K$5),(WEEKDAY($C32,2)&gt;5),FALSE)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N32:O32</xm:sqref>
        </x14:conditionalFormatting>
        <x14:conditionalFormatting xmlns:xm="http://schemas.microsoft.com/office/excel/2006/main">
          <x14:cfRule type="expression" priority="78" stopIfTrue="1" id="{710420B9-7977-44A0-97DA-496CC4B04F7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B6:K36</xm:sqref>
        </x14:conditionalFormatting>
        <x14:conditionalFormatting xmlns:xm="http://schemas.microsoft.com/office/excel/2006/main">
          <x14:cfRule type="expression" priority="8" id="{DB208B0C-3638-4A71-A1E8-74FDDCDF6432}">
            <xm:f>MATCH($C6,Worksheet!$M$27:$M$55, 0)</xm:f>
            <x14:dxf>
              <fill>
                <gradientFill degree="45">
                  <stop position="0">
                    <color rgb="FFFFFF00"/>
                  </stop>
                  <stop position="0.5">
                    <color theme="4"/>
                  </stop>
                  <stop position="1">
                    <color rgb="FFFFFF00"/>
                  </stop>
                </gradientFill>
              </fill>
            </x14:dxf>
          </x14:cfRule>
          <x14:cfRule type="expression" priority="9" id="{C7519971-601D-4FCD-9250-2C73C9CBBBBB}">
            <xm:f>MATCH($C6,Worksheet!$M$56:$M$81, 0)</xm:f>
            <x14:dxf>
              <fill>
                <gradientFill type="path" left="0.5" right="0.5" top="0.5" bottom="0.5">
                  <stop position="0">
                    <color theme="0"/>
                  </stop>
                  <stop position="1">
                    <color rgb="FFED69DA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5" stopIfTrue="1" id="{A21B0A2F-CF2D-4994-803E-58FF0B9AEF32}">
            <xm:f>MATCH($C6,Worksheet!$M$9:$M$26,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B6:B36</xm:sqref>
        </x14:conditionalFormatting>
        <x14:conditionalFormatting xmlns:xm="http://schemas.microsoft.com/office/excel/2006/main">
          <x14:cfRule type="expression" priority="4" stopIfTrue="1" id="{2005E6E7-DC93-457C-BA84-39437495D5A5}">
            <xm:f>IF(($B$1=Worksheet!$K$2),(WEEKDAY($C6,2)&gt;5),FALSE)</xm:f>
            <x14:dxf>
              <fill>
                <patternFill>
                  <bgColor theme="4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6" stopIfTrue="1" id="{7913760C-DBB1-4E21-ADE0-B8C644B90D60}">
            <xm:f>IF(($B$1=Worksheet!$K$3),(WEEKDAY($C6,2)&gt;5),FALSE)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7" stopIfTrue="1" id="{7990C1F1-1C42-4734-BB54-A55B68952D11}">
            <xm:f>AND(WEEKDAY($C6-1)=1, $C6-1=Worksheet!$M$9)</xm:f>
            <x14:dxf>
              <fill>
                <patternFill>
                  <bgColor theme="2" tint="-0.24994659260841701"/>
                </patternFill>
              </fill>
            </x14:dxf>
          </x14:cfRule>
          <x14:cfRule type="expression" priority="79" stopIfTrue="1" id="{926637A2-2E36-44DC-B1AB-43AE99627421}">
            <xm:f>IF(($B$1=Worksheet!$K$4),(WEEKDAY($C6,2)&gt;5),FALSE)</xm:f>
            <x14:dxf>
              <fill>
                <patternFill>
                  <bgColor theme="9" tint="0.59996337778862885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3" id="{0DCB60C2-6BD1-48ED-9D48-906A090CADF5}">
            <xm:f>IF(($B$1=Worksheet!$K$5),(WEEKDAY($C6,2)&gt;5),FALSE)</xm:f>
            <x14:dxf>
              <fill>
                <patternFill>
                  <bgColor theme="5" tint="0.39994506668294322"/>
                </pattern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2" stopIfTrue="1" id="{4C3E1DDE-15EA-4FD2-8111-FF7C89880663}">
            <xm:f>MATCH($C6,Worksheet!$M$9:$M$24, 0)</xm:f>
            <x14:dxf>
              <fill>
                <gradientFill degree="45">
                  <stop position="0">
                    <color rgb="FF92D050"/>
                  </stop>
                  <stop position="0.5">
                    <color rgb="FFFFC000"/>
                  </stop>
                  <stop position="1">
                    <color rgb="FF92D050"/>
                  </stop>
                </gradientFill>
              </fill>
            </x14:dxf>
          </x14:cfRule>
          <xm:sqref>L6:L36</xm:sqref>
        </x14:conditionalFormatting>
        <x14:conditionalFormatting xmlns:xm="http://schemas.microsoft.com/office/excel/2006/main">
          <x14:cfRule type="expression" priority="1" id="{18248961-99DF-4632-8FD0-C7EE2C212BF9}">
            <xm:f>IF(($B$1=Worksheet!$K$6),(WEEKDAY($C6,2)&gt;5),FALSE)</xm:f>
            <x14:dxf>
              <fill>
                <patternFill patternType="solid">
                  <fgColor auto="1"/>
                  <bgColor theme="4" tint="0.39994506668294322"/>
                </patternFill>
              </fill>
            </x14:dxf>
          </x14:cfRule>
          <xm:sqref>B6:L36 N6:O36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I132"/>
  <sheetViews>
    <sheetView topLeftCell="L7" workbookViewId="0">
      <selection activeCell="L9" sqref="L9:O130"/>
    </sheetView>
  </sheetViews>
  <sheetFormatPr defaultRowHeight="12.75" x14ac:dyDescent="0.2"/>
  <cols>
    <col min="1" max="1" width="10.28515625" style="1" customWidth="1"/>
    <col min="2" max="2" width="9.140625" style="1"/>
    <col min="3" max="3" width="5" style="1" bestFit="1" customWidth="1"/>
    <col min="4" max="4" width="19.7109375" style="1" bestFit="1" customWidth="1"/>
    <col min="5" max="5" width="9.140625" style="1" customWidth="1"/>
    <col min="6" max="6" width="6" style="1" customWidth="1"/>
    <col min="7" max="7" width="22.140625" style="1" bestFit="1" customWidth="1"/>
    <col min="8" max="8" width="7" style="1" customWidth="1"/>
    <col min="9" max="9" width="23.28515625" style="1" bestFit="1" customWidth="1"/>
    <col min="10" max="10" width="23" style="1" bestFit="1" customWidth="1"/>
    <col min="11" max="11" width="6.5703125" style="1" customWidth="1"/>
    <col min="12" max="12" width="10.42578125" style="1" customWidth="1"/>
    <col min="13" max="13" width="15" style="1" customWidth="1"/>
    <col min="14" max="14" width="25.140625" style="1" customWidth="1"/>
    <col min="15" max="15" width="26.42578125" style="1" bestFit="1" customWidth="1"/>
    <col min="16" max="16" width="4.28515625" style="1" customWidth="1"/>
    <col min="17" max="17" width="13.42578125" style="1" bestFit="1" customWidth="1"/>
    <col min="18" max="18" width="6" style="168" bestFit="1" customWidth="1"/>
    <col min="19" max="19" width="27" style="168" bestFit="1" customWidth="1"/>
    <col min="20" max="20" width="6" style="198" bestFit="1" customWidth="1"/>
    <col min="21" max="21" width="4.5703125" style="198" bestFit="1" customWidth="1"/>
    <col min="22" max="22" width="27" style="198" bestFit="1" customWidth="1"/>
    <col min="23" max="23" width="7.28515625" style="184" bestFit="1" customWidth="1"/>
    <col min="24" max="24" width="4.5703125" style="184" bestFit="1" customWidth="1"/>
    <col min="25" max="25" width="27" style="186" bestFit="1" customWidth="1"/>
    <col min="26" max="26" width="6" style="170" bestFit="1" customWidth="1"/>
    <col min="27" max="27" width="4.5703125" style="170" bestFit="1" customWidth="1"/>
    <col min="28" max="28" width="27" style="171" bestFit="1" customWidth="1"/>
    <col min="29" max="29" width="7.42578125" style="156" bestFit="1" customWidth="1"/>
    <col min="30" max="30" width="6.7109375" style="156" customWidth="1"/>
    <col min="31" max="31" width="27" style="156" customWidth="1"/>
    <col min="32" max="32" width="8.5703125" style="10" bestFit="1" customWidth="1"/>
    <col min="33" max="33" width="9.7109375" style="13" bestFit="1" customWidth="1"/>
    <col min="34" max="34" width="5.5703125" style="13" customWidth="1"/>
    <col min="35" max="35" width="27" style="1" bestFit="1" customWidth="1"/>
    <col min="36" max="16384" width="9.140625" style="1"/>
  </cols>
  <sheetData>
    <row r="1" spans="1:34" ht="15" customHeight="1" x14ac:dyDescent="0.2">
      <c r="A1" s="32" t="s">
        <v>23</v>
      </c>
      <c r="B1" s="33">
        <v>2024</v>
      </c>
      <c r="C1" s="70">
        <v>2025</v>
      </c>
      <c r="D1" s="71"/>
      <c r="E1" s="277" t="s">
        <v>53</v>
      </c>
      <c r="F1" s="277"/>
      <c r="G1" s="277"/>
      <c r="H1" s="28"/>
      <c r="I1" s="244" t="s">
        <v>20</v>
      </c>
      <c r="J1" s="244"/>
      <c r="K1" s="248" t="s">
        <v>130</v>
      </c>
      <c r="L1" s="249" t="s">
        <v>70</v>
      </c>
      <c r="M1" s="250" t="s">
        <v>129</v>
      </c>
      <c r="N1" s="273" t="s">
        <v>80</v>
      </c>
      <c r="O1" s="273"/>
      <c r="P1" s="274"/>
      <c r="Q1" s="3"/>
      <c r="R1" s="233"/>
      <c r="S1" s="233"/>
      <c r="T1" s="233"/>
      <c r="U1" s="233"/>
      <c r="V1" s="234"/>
      <c r="W1" s="234"/>
      <c r="X1" s="235"/>
      <c r="Y1" s="234"/>
      <c r="Z1" s="234"/>
      <c r="AA1" s="235"/>
      <c r="AB1" s="236"/>
      <c r="AC1" s="235"/>
      <c r="AD1" s="236"/>
      <c r="AE1" s="236"/>
      <c r="AF1" s="235"/>
      <c r="AH1" s="1"/>
    </row>
    <row r="2" spans="1:34" x14ac:dyDescent="0.2">
      <c r="A2" s="34"/>
      <c r="B2" s="278" t="str">
        <f>CONCATENATE(B1, "-",C1)</f>
        <v>2024-2025</v>
      </c>
      <c r="C2" s="279"/>
      <c r="D2" s="67" t="s">
        <v>45</v>
      </c>
      <c r="E2" s="72">
        <f>DATE(B1,6,11)</f>
        <v>45454</v>
      </c>
      <c r="F2" s="72"/>
      <c r="G2" s="73">
        <f>E2</f>
        <v>45454</v>
      </c>
      <c r="H2" s="12"/>
      <c r="I2" s="23" t="s">
        <v>21</v>
      </c>
      <c r="J2" s="23" t="str">
        <f>$B$2</f>
        <v>2024-2025</v>
      </c>
      <c r="K2" s="245" t="str">
        <f>CONCATENATE(I2," ",J2)</f>
        <v>Grant County ESD Timesheet 2024-2025</v>
      </c>
      <c r="L2" s="245"/>
      <c r="M2" s="245"/>
      <c r="N2" s="275" t="str">
        <f>'Jun-Jul'!$B$1</f>
        <v>Dayville SD #16J Timesheet 2024-2025</v>
      </c>
      <c r="O2" s="275"/>
      <c r="P2" s="276"/>
      <c r="Q2" s="3"/>
      <c r="R2" s="233"/>
      <c r="S2" s="233"/>
      <c r="T2" s="233"/>
      <c r="U2" s="233"/>
      <c r="V2" s="234"/>
      <c r="W2" s="234"/>
      <c r="X2" s="235"/>
      <c r="Y2" s="234"/>
      <c r="Z2" s="234"/>
      <c r="AA2" s="235"/>
      <c r="AB2" s="236"/>
      <c r="AC2" s="235"/>
      <c r="AD2" s="236"/>
      <c r="AE2" s="236"/>
      <c r="AF2" s="235"/>
      <c r="AH2" s="1"/>
    </row>
    <row r="3" spans="1:34" x14ac:dyDescent="0.2">
      <c r="A3" s="29"/>
      <c r="B3" s="3"/>
      <c r="C3" s="3"/>
      <c r="D3" s="71" t="s">
        <v>46</v>
      </c>
      <c r="E3" s="74">
        <f>DATE(B1,6,16)</f>
        <v>45459</v>
      </c>
      <c r="F3" s="74"/>
      <c r="G3" s="75">
        <f>E3</f>
        <v>45459</v>
      </c>
      <c r="H3" s="12"/>
      <c r="I3" s="68" t="s">
        <v>43</v>
      </c>
      <c r="J3" s="68" t="str">
        <f t="shared" ref="J3:J6" si="0">$B$2</f>
        <v>2024-2025</v>
      </c>
      <c r="K3" s="246" t="str">
        <f>CONCATENATE(I3," ",J3)</f>
        <v>Prairie City SD #4 Timesheet 2024-2025</v>
      </c>
      <c r="L3" s="246"/>
      <c r="M3" s="246"/>
      <c r="N3" s="106" t="s">
        <v>120</v>
      </c>
      <c r="O3" s="106" t="str">
        <f>IF(N2=K2,"ESD",IF(N2=K3,"PC",IF(N2=K4,"MON",IF(N2=K5,"DV",IF(N2=K6,"LC","")))))</f>
        <v>DV</v>
      </c>
      <c r="P3" s="65"/>
      <c r="R3" s="233"/>
      <c r="S3" s="233"/>
      <c r="T3" s="233"/>
      <c r="U3" s="233"/>
      <c r="V3" s="234"/>
      <c r="W3" s="234"/>
      <c r="X3" s="235"/>
      <c r="Y3" s="234"/>
      <c r="Z3" s="234"/>
      <c r="AA3" s="235"/>
      <c r="AB3" s="236"/>
      <c r="AC3" s="235"/>
      <c r="AD3" s="236"/>
      <c r="AE3" s="236"/>
      <c r="AF3" s="235"/>
      <c r="AH3" s="1"/>
    </row>
    <row r="4" spans="1:34" x14ac:dyDescent="0.2">
      <c r="A4" s="29"/>
      <c r="B4" s="3"/>
      <c r="C4" s="3"/>
      <c r="D4" s="67" t="s">
        <v>47</v>
      </c>
      <c r="E4" s="72">
        <f>DATE(B1,6,16)</f>
        <v>45459</v>
      </c>
      <c r="F4" s="72"/>
      <c r="G4" s="73">
        <f>E4</f>
        <v>45459</v>
      </c>
      <c r="H4" s="12"/>
      <c r="I4" s="23" t="s">
        <v>42</v>
      </c>
      <c r="J4" s="23" t="str">
        <f t="shared" si="0"/>
        <v>2024-2025</v>
      </c>
      <c r="K4" s="245" t="str">
        <f>CONCATENATE(I4," ",J4)</f>
        <v>Monument SD #8 Timesheet 2024-2025</v>
      </c>
      <c r="L4" s="245"/>
      <c r="M4" s="245"/>
      <c r="N4" s="3"/>
      <c r="O4" s="3"/>
      <c r="P4" s="65"/>
      <c r="Q4" s="3"/>
      <c r="R4" s="237"/>
      <c r="S4" s="233"/>
      <c r="T4" s="233"/>
      <c r="U4" s="233"/>
      <c r="V4" s="234"/>
      <c r="W4" s="234"/>
      <c r="X4" s="235"/>
      <c r="Y4" s="234"/>
      <c r="Z4" s="234"/>
      <c r="AA4" s="235"/>
      <c r="AB4" s="236"/>
      <c r="AC4" s="235"/>
      <c r="AD4" s="236"/>
      <c r="AE4" s="236"/>
      <c r="AF4" s="235"/>
      <c r="AH4" s="1"/>
    </row>
    <row r="5" spans="1:34" ht="13.5" thickBot="1" x14ac:dyDescent="0.25">
      <c r="A5" s="2"/>
      <c r="B5" s="30"/>
      <c r="C5" s="30"/>
      <c r="D5" s="238" t="s">
        <v>82</v>
      </c>
      <c r="E5" s="74">
        <f>DATE(B1,6,16)</f>
        <v>45459</v>
      </c>
      <c r="F5" s="239"/>
      <c r="G5" s="240">
        <f>E5</f>
        <v>45459</v>
      </c>
      <c r="H5" s="31"/>
      <c r="I5" s="69" t="s">
        <v>89</v>
      </c>
      <c r="J5" s="69" t="str">
        <f t="shared" si="0"/>
        <v>2024-2025</v>
      </c>
      <c r="K5" s="247" t="str">
        <f>CONCATENATE(I5," ",J5)</f>
        <v>Dayville SD #16J Timesheet 2024-2025</v>
      </c>
      <c r="L5" s="247"/>
      <c r="M5" s="247"/>
      <c r="N5" s="30"/>
      <c r="O5" s="30"/>
      <c r="P5" s="66"/>
      <c r="Q5" s="3"/>
      <c r="R5" s="237"/>
      <c r="S5" s="233"/>
      <c r="T5" s="233"/>
      <c r="U5" s="233"/>
      <c r="V5" s="234"/>
      <c r="W5" s="234"/>
      <c r="X5" s="235"/>
      <c r="Y5" s="234"/>
      <c r="Z5" s="234"/>
      <c r="AA5" s="235"/>
      <c r="AB5" s="236"/>
      <c r="AC5" s="235"/>
      <c r="AD5" s="236"/>
      <c r="AE5" s="236"/>
      <c r="AF5" s="235"/>
      <c r="AH5" s="1"/>
    </row>
    <row r="6" spans="1:34" ht="13.5" thickBot="1" x14ac:dyDescent="0.25">
      <c r="D6" s="241" t="s">
        <v>119</v>
      </c>
      <c r="E6" s="242">
        <f>DATE(B1,6,16)</f>
        <v>45459</v>
      </c>
      <c r="F6" s="243"/>
      <c r="G6" s="243"/>
      <c r="I6" s="109" t="s">
        <v>126</v>
      </c>
      <c r="J6" s="69" t="str">
        <f t="shared" si="0"/>
        <v>2024-2025</v>
      </c>
      <c r="K6" s="251" t="str">
        <f>CONCATENATE(I6," ",J6)</f>
        <v>Long Creek SD #17 Timesheet 2024-2025</v>
      </c>
      <c r="L6" s="251"/>
      <c r="M6" s="251"/>
      <c r="O6" s="3"/>
      <c r="P6" s="3"/>
      <c r="Q6" s="3"/>
      <c r="R6" s="237"/>
      <c r="S6" s="237"/>
      <c r="T6" s="233"/>
      <c r="U6" s="233"/>
      <c r="V6" s="233"/>
      <c r="W6" s="234"/>
      <c r="X6" s="234"/>
      <c r="Y6" s="233"/>
      <c r="Z6" s="234"/>
      <c r="AA6" s="234"/>
      <c r="AB6" s="235"/>
      <c r="AC6" s="235"/>
      <c r="AD6" s="235"/>
      <c r="AE6" s="235"/>
      <c r="AF6" s="236"/>
    </row>
    <row r="7" spans="1:34" x14ac:dyDescent="0.2">
      <c r="O7" s="3"/>
      <c r="P7" s="3"/>
      <c r="Q7" s="3"/>
      <c r="R7" s="237"/>
      <c r="S7" s="237"/>
      <c r="T7" s="233"/>
      <c r="U7" s="233"/>
      <c r="V7" s="233"/>
      <c r="W7" s="234"/>
      <c r="X7" s="234"/>
      <c r="Y7" s="233"/>
      <c r="Z7" s="234"/>
      <c r="AA7" s="234"/>
      <c r="AB7" s="235"/>
      <c r="AC7" s="235"/>
      <c r="AD7" s="235"/>
      <c r="AE7" s="235"/>
      <c r="AF7" s="236"/>
    </row>
    <row r="8" spans="1:34" x14ac:dyDescent="0.2">
      <c r="A8" s="26" t="s">
        <v>19</v>
      </c>
      <c r="B8" s="26" t="s">
        <v>41</v>
      </c>
      <c r="D8" s="3" t="s">
        <v>70</v>
      </c>
      <c r="E8" s="4" t="s">
        <v>119</v>
      </c>
      <c r="F8" s="4" t="s">
        <v>69</v>
      </c>
      <c r="G8" s="4" t="s">
        <v>50</v>
      </c>
      <c r="H8" s="4" t="s">
        <v>71</v>
      </c>
      <c r="I8" s="4" t="s">
        <v>52</v>
      </c>
      <c r="J8" s="4" t="s">
        <v>82</v>
      </c>
      <c r="K8" s="3"/>
      <c r="L8" s="39" t="s">
        <v>23</v>
      </c>
      <c r="M8" s="40" t="s">
        <v>25</v>
      </c>
      <c r="N8" s="40" t="s">
        <v>22</v>
      </c>
      <c r="O8" s="41" t="s">
        <v>24</v>
      </c>
      <c r="Q8" s="16" t="s">
        <v>51</v>
      </c>
      <c r="R8" s="223" t="s">
        <v>48</v>
      </c>
      <c r="S8" s="224" t="s">
        <v>62</v>
      </c>
      <c r="T8" s="225" t="s">
        <v>50</v>
      </c>
      <c r="U8" s="225" t="s">
        <v>63</v>
      </c>
      <c r="V8" s="225" t="s">
        <v>64</v>
      </c>
      <c r="W8" s="226" t="s">
        <v>52</v>
      </c>
      <c r="X8" s="227" t="s">
        <v>65</v>
      </c>
      <c r="Y8" s="227" t="s">
        <v>67</v>
      </c>
      <c r="Z8" s="228" t="s">
        <v>87</v>
      </c>
      <c r="AA8" s="229" t="s">
        <v>85</v>
      </c>
      <c r="AB8" s="229" t="s">
        <v>86</v>
      </c>
      <c r="AC8" s="230" t="s">
        <v>119</v>
      </c>
      <c r="AD8" s="231" t="s">
        <v>127</v>
      </c>
      <c r="AE8" s="231" t="s">
        <v>128</v>
      </c>
      <c r="AF8" s="232" t="s">
        <v>113</v>
      </c>
      <c r="AG8" s="1"/>
      <c r="AH8" s="1"/>
    </row>
    <row r="9" spans="1:34" x14ac:dyDescent="0.2">
      <c r="A9" s="3"/>
      <c r="B9" s="3"/>
      <c r="D9" s="35" t="s">
        <v>115</v>
      </c>
      <c r="E9" s="107">
        <v>45646</v>
      </c>
      <c r="F9" s="3"/>
      <c r="G9" s="25">
        <v>45646</v>
      </c>
      <c r="H9" s="25"/>
      <c r="I9" s="25">
        <v>45647</v>
      </c>
      <c r="J9" s="25">
        <v>45646</v>
      </c>
      <c r="L9" s="22">
        <f>B1</f>
        <v>2024</v>
      </c>
      <c r="M9" s="17">
        <f>DATE(L9,7,4)</f>
        <v>45477</v>
      </c>
      <c r="N9" s="8" t="s">
        <v>26</v>
      </c>
      <c r="O9" s="37">
        <v>44016</v>
      </c>
      <c r="Q9" s="14"/>
      <c r="R9" s="221">
        <f>DATE(B1,6,15)</f>
        <v>45458</v>
      </c>
      <c r="S9" s="252"/>
      <c r="T9" s="253"/>
      <c r="U9" s="254">
        <f>DATE($B$1,6,25)</f>
        <v>45468</v>
      </c>
      <c r="V9" s="255"/>
      <c r="W9" s="256"/>
      <c r="X9" s="257">
        <f>DATE(B1,6,25)</f>
        <v>45468</v>
      </c>
      <c r="Y9" s="258"/>
      <c r="Z9" s="259"/>
      <c r="AA9" s="260">
        <f>DATE($B$1,6,25)</f>
        <v>45468</v>
      </c>
      <c r="AB9" s="261"/>
      <c r="AC9" s="262"/>
      <c r="AD9" s="263">
        <f>DATE($B$1,6,25)</f>
        <v>45468</v>
      </c>
      <c r="AE9" s="169"/>
      <c r="AF9" s="222"/>
      <c r="AG9" s="1"/>
      <c r="AH9" s="1"/>
    </row>
    <row r="10" spans="1:34" x14ac:dyDescent="0.2">
      <c r="A10" s="42">
        <v>0.25</v>
      </c>
      <c r="B10" s="43">
        <f>15/1440</f>
        <v>1.0416666666666666E-2</v>
      </c>
      <c r="C10" s="5"/>
      <c r="D10" s="3" t="s">
        <v>116</v>
      </c>
      <c r="E10" s="25">
        <v>45660</v>
      </c>
      <c r="F10" s="3"/>
      <c r="G10" s="25">
        <v>45660</v>
      </c>
      <c r="H10" s="25"/>
      <c r="I10" s="25">
        <v>45660</v>
      </c>
      <c r="J10" s="25">
        <v>45658</v>
      </c>
      <c r="K10" s="3"/>
      <c r="L10" s="7"/>
      <c r="M10" s="18">
        <f>DATE(L9,9,1)+CHOOSE(WEEKDAY(DATE(L9,9,1)),1,0,6,5,4,3,2)</f>
        <v>45537</v>
      </c>
      <c r="N10" s="9" t="s">
        <v>27</v>
      </c>
      <c r="O10" s="27" t="s">
        <v>28</v>
      </c>
      <c r="Q10" s="14" t="s">
        <v>49</v>
      </c>
      <c r="R10" s="211">
        <f>PRDates[[#This Row],[C1]]</f>
        <v>45457</v>
      </c>
      <c r="S10" s="212">
        <f>WORKDAY(R9 +1,-1)</f>
        <v>45457</v>
      </c>
      <c r="T10" s="200">
        <f>IF(WEEKDAY(U9)=6,U9-1,IF(WEEKDAY(U9)=7,U9-2,IF(WEEKDAY(U9)=1,U9-3,U9)))</f>
        <v>45468</v>
      </c>
      <c r="U10" s="200">
        <f>_xlfn.DAYS(PRDates[[#This Row],[PC]],DATE(B1,5,25))</f>
        <v>31</v>
      </c>
      <c r="V10" s="201">
        <f>IF(T10="","",T10)</f>
        <v>45468</v>
      </c>
      <c r="W10" s="187">
        <f>IF(WEEKDAY(X9)=6,X9-1,IF(WEEKDAY(X9)=7,X9-2,IF(WEEKDAY(X9)=1,X9-3,X9)))</f>
        <v>45468</v>
      </c>
      <c r="X10" s="188"/>
      <c r="Y10" s="189">
        <f>IF(W10="","",W10)</f>
        <v>45468</v>
      </c>
      <c r="Z10" s="172">
        <f>IF(WEEKDAY(AA9)=6,AA9-1,IF(WEEKDAY(AA9)=7,AA9-2,IF(WEEKDAY(AA9)=1,AA9-3,AA9)))</f>
        <v>45468</v>
      </c>
      <c r="AA10" s="173"/>
      <c r="AB10" s="174">
        <f>IF(Z10="","",Z10)</f>
        <v>45468</v>
      </c>
      <c r="AC10" s="157">
        <f>IF(WEEKDAY(AD9)=6,AD9-1,IF(WEEKDAY(AD9)=7,AD9-2,IF(WEEKDAY(AD9)=1,AD9-3,AD9)))</f>
        <v>45468</v>
      </c>
      <c r="AD10" s="158"/>
      <c r="AE10" s="158">
        <f>IF(AC10="","",AC10)</f>
        <v>45468</v>
      </c>
      <c r="AF10" s="1">
        <v>2</v>
      </c>
      <c r="AG10" s="1"/>
      <c r="AH10" s="1"/>
    </row>
    <row r="11" spans="1:34" x14ac:dyDescent="0.2">
      <c r="A11" s="42">
        <v>0.25347222222222221</v>
      </c>
      <c r="B11" s="43">
        <f>30/1440</f>
        <v>2.0833333333333332E-2</v>
      </c>
      <c r="C11" s="5"/>
      <c r="D11" s="3" t="s">
        <v>117</v>
      </c>
      <c r="E11" s="25">
        <v>45740</v>
      </c>
      <c r="F11" s="3"/>
      <c r="G11" s="25">
        <v>45740</v>
      </c>
      <c r="H11" s="3"/>
      <c r="I11" s="25">
        <v>45740</v>
      </c>
      <c r="J11" s="25">
        <v>45740</v>
      </c>
      <c r="K11" s="3"/>
      <c r="L11" s="7"/>
      <c r="M11" s="19">
        <f>DATE(L9,11,11)</f>
        <v>45607</v>
      </c>
      <c r="N11" s="9" t="s">
        <v>29</v>
      </c>
      <c r="O11" s="38">
        <v>44146</v>
      </c>
      <c r="Q11" s="14" t="s">
        <v>49</v>
      </c>
      <c r="R11" s="211">
        <f>PRDates[[#This Row],[C1]]</f>
        <v>45488</v>
      </c>
      <c r="S11" s="212">
        <f>IF(WEEKDAY(DATE($B$1,MONTH(S10)+1,DAY($R$9))={1,7}),WORKDAY(DATE($B$1,MONTH(S10)+1,DAY($R$9))+1,-1),DATE($B$1,MONTH(S10)+1,DAY($R$9)))</f>
        <v>45488</v>
      </c>
      <c r="T11" s="200">
        <f>IF(PCPdays-T10&gt;35,Days35,PCPdays)</f>
        <v>45498</v>
      </c>
      <c r="U11" s="200">
        <f>T11-T10</f>
        <v>30</v>
      </c>
      <c r="V11" s="201">
        <f t="shared" ref="V11:V23" si="1">IF(T11="","",T11)</f>
        <v>45498</v>
      </c>
      <c r="W11" s="187">
        <f>MONPdays</f>
        <v>45498</v>
      </c>
      <c r="X11" s="188">
        <f>W11-W10</f>
        <v>30</v>
      </c>
      <c r="Y11" s="189">
        <f>IFERROR(IF(PRDates[[#This Row],[MON]]=INDEX($M$9:$M$25,MATCH(PRDates[[#This Row],[MON]],$M$9:$M$25,0)),WORKDAY(PRDates[[#This Row],[MON]],-1,$M$9:$M$25),PRDates[[#This Row],[MON]]),PRDates[[#This Row],[MON]])</f>
        <v>45498</v>
      </c>
      <c r="Z11" s="172">
        <f>MONPdays</f>
        <v>45498</v>
      </c>
      <c r="AA11" s="173">
        <f>Z11-Z10</f>
        <v>30</v>
      </c>
      <c r="AB11" s="174">
        <f>IFERROR(IF(PRDates[[#This Row],[MON]]=INDEX($M$9:$M$25,MATCH(PRDates[[#This Row],[MON]],$M$9:$M$25,0)),WORKDAY(PRDates[[#This Row],[MON]],-1,$M$9:$M$25),PRDates[[#This Row],[MON]]),PRDates[[#This Row],[MON]])</f>
        <v>45498</v>
      </c>
      <c r="AC11" s="159">
        <f>MONPdays</f>
        <v>45498</v>
      </c>
      <c r="AD11" s="159">
        <f>AC11-AC10</f>
        <v>30</v>
      </c>
      <c r="AE11" s="158">
        <f>IFERROR(IF(PRDates[[#This Row],[MON]]=INDEX($M$9:$M$25,MATCH(PRDates[[#This Row],[MON]],$M$9:$M$25,0)),WORKDAY(PRDates[[#This Row],[MON]],-1,$M$9:$M$25),PRDates[[#This Row],[MON]]),PRDates[[#This Row],[MON]])</f>
        <v>45498</v>
      </c>
      <c r="AF11" s="1">
        <v>3</v>
      </c>
      <c r="AG11" s="1"/>
      <c r="AH11" s="1"/>
    </row>
    <row r="12" spans="1:34" x14ac:dyDescent="0.2">
      <c r="A12" s="42">
        <v>0.25694444444444398</v>
      </c>
      <c r="B12" s="43">
        <f>45/1440</f>
        <v>3.125E-2</v>
      </c>
      <c r="C12" s="5"/>
      <c r="D12" s="3" t="s">
        <v>118</v>
      </c>
      <c r="E12" s="25">
        <v>45744</v>
      </c>
      <c r="F12" s="3"/>
      <c r="G12" s="25">
        <v>45744</v>
      </c>
      <c r="H12" s="3"/>
      <c r="I12" s="25">
        <v>45744</v>
      </c>
      <c r="J12" s="25">
        <v>45744</v>
      </c>
      <c r="K12" s="3"/>
      <c r="L12" s="7"/>
      <c r="M12" s="18">
        <f>DATE(L9,11,1)+21+CHOOSE(WEEKDAY(DATE(L9,11,1)),4,3,2,1,0,6,5)</f>
        <v>45624</v>
      </c>
      <c r="N12" s="9" t="s">
        <v>30</v>
      </c>
      <c r="O12" s="27" t="s">
        <v>31</v>
      </c>
      <c r="Q12" s="14" t="s">
        <v>49</v>
      </c>
      <c r="R12" s="211">
        <f>PRDates[[#This Row],[C1]]</f>
        <v>45519</v>
      </c>
      <c r="S12" s="212">
        <f>IF(WEEKDAY(DATE($B$1,MONTH(S11)+1,DAY($R$9))={1,7}),WORKDAY(DATE($B$1,MONTH(S11)+1,DAY($R$9))+1,-1),DATE($B$1,MONTH(S11)+1,DAY($R$9)))</f>
        <v>45519</v>
      </c>
      <c r="T12" s="200">
        <f>IF(PCPdays-T11&gt;35,Days35,PCPdays)</f>
        <v>45526</v>
      </c>
      <c r="U12" s="200">
        <f t="shared" ref="U12:U22" si="2">T12-T11</f>
        <v>28</v>
      </c>
      <c r="V12" s="201">
        <f t="shared" si="1"/>
        <v>45526</v>
      </c>
      <c r="W12" s="187">
        <f>MONPdays</f>
        <v>45527</v>
      </c>
      <c r="X12" s="188">
        <f>W12-W11</f>
        <v>29</v>
      </c>
      <c r="Y12" s="189">
        <f>IFERROR(IF(PRDates[[#This Row],[MON]]=INDEX($M$9:$M$25,MATCH(PRDates[[#This Row],[MON]],$M$9:$M$25,0)),WORKDAY(PRDates[[#This Row],[MON]],-1,$M$9:$M$25),PRDates[[#This Row],[MON]]),PRDates[[#This Row],[MON]])</f>
        <v>45527</v>
      </c>
      <c r="Z12" s="172">
        <f>MONPdays</f>
        <v>45527</v>
      </c>
      <c r="AA12" s="173">
        <f t="shared" ref="AA12:AA22" si="3">Z12-Z11</f>
        <v>29</v>
      </c>
      <c r="AB12" s="174">
        <f>IFERROR(IF(PRDates[[#This Row],[MON]]=INDEX($M$9:$M$25,MATCH(PRDates[[#This Row],[MON]],$M$9:$M$25,0)),WORKDAY(PRDates[[#This Row],[MON]],-1,$M$9:$M$25),PRDates[[#This Row],[MON]]),PRDates[[#This Row],[MON]])</f>
        <v>45527</v>
      </c>
      <c r="AC12" s="159">
        <f>MONPdays</f>
        <v>45527</v>
      </c>
      <c r="AD12" s="159">
        <f t="shared" ref="AD12:AD22" si="4">AC12-AC11</f>
        <v>29</v>
      </c>
      <c r="AE12" s="158">
        <f>IFERROR(IF(PRDates[[#This Row],[MON]]=INDEX($M$9:$M$25,MATCH(PRDates[[#This Row],[MON]],$M$9:$M$25,0)),WORKDAY(PRDates[[#This Row],[MON]],-1,$M$9:$M$25),PRDates[[#This Row],[MON]]),PRDates[[#This Row],[MON]])</f>
        <v>45527</v>
      </c>
      <c r="AF12" s="1">
        <v>4</v>
      </c>
      <c r="AG12" s="1"/>
      <c r="AH12" s="1"/>
    </row>
    <row r="13" spans="1:34" x14ac:dyDescent="0.2">
      <c r="A13" s="42">
        <v>0.26041666666666702</v>
      </c>
      <c r="B13" s="43">
        <f>(60/1440)</f>
        <v>4.1666666666666664E-2</v>
      </c>
      <c r="C13" s="5"/>
      <c r="D13" s="3" t="s">
        <v>55</v>
      </c>
      <c r="E13" s="107">
        <v>45442</v>
      </c>
      <c r="F13" s="3"/>
      <c r="G13" s="11">
        <v>45820</v>
      </c>
      <c r="H13" s="107"/>
      <c r="I13" s="11">
        <v>45813</v>
      </c>
      <c r="J13" s="11">
        <v>45812</v>
      </c>
      <c r="K13" s="3" t="s">
        <v>66</v>
      </c>
      <c r="L13" s="7"/>
      <c r="M13" s="19">
        <f>DATE(L9,11,1)+22+CHOOSE(WEEKDAY(DATE(L9,11,1)),4,3,2,1,0,6,6)</f>
        <v>45625</v>
      </c>
      <c r="N13" s="9" t="s">
        <v>32</v>
      </c>
      <c r="O13" s="27" t="s">
        <v>33</v>
      </c>
      <c r="Q13" s="14" t="s">
        <v>49</v>
      </c>
      <c r="R13" s="211">
        <f>PRDates[[#This Row],[C1]]</f>
        <v>45548</v>
      </c>
      <c r="S13" s="212">
        <f>IF(WEEKDAY(DATE($B$1,MONTH(S12)+1,DAY($R$9))={1,7}),WORKDAY(DATE($B$1,MONTH(S12)+1,DAY($R$9))+1,-1),DATE($B$1,MONTH(S12)+1,DAY($R$9)))</f>
        <v>45548</v>
      </c>
      <c r="T13" s="200">
        <f>IF(PCPdays-T12&gt;35,Days35,PCPdays)</f>
        <v>45560</v>
      </c>
      <c r="U13" s="200">
        <f t="shared" si="2"/>
        <v>34</v>
      </c>
      <c r="V13" s="201">
        <f t="shared" si="1"/>
        <v>45560</v>
      </c>
      <c r="W13" s="187">
        <f>MONPdays</f>
        <v>45560</v>
      </c>
      <c r="X13" s="188">
        <f t="shared" ref="X13:X22" si="5">W13-W12</f>
        <v>33</v>
      </c>
      <c r="Y13" s="189">
        <f>IFERROR(IF(PRDates[[#This Row],[MON]]=INDEX($M$9:$M$25,MATCH(PRDates[[#This Row],[MON]],$M$9:$M$25,0)),WORKDAY(PRDates[[#This Row],[MON]],-1,$M$9:$M$25),PRDates[[#This Row],[MON]]),PRDates[[#This Row],[MON]])</f>
        <v>45560</v>
      </c>
      <c r="Z13" s="172">
        <f>MONPdays</f>
        <v>45560</v>
      </c>
      <c r="AA13" s="173">
        <f t="shared" si="3"/>
        <v>33</v>
      </c>
      <c r="AB13" s="174">
        <f>IFERROR(IF(PRDates[[#This Row],[MON]]=INDEX($M$9:$M$25,MATCH(PRDates[[#This Row],[MON]],$M$9:$M$25,0)),WORKDAY(PRDates[[#This Row],[MON]],-1,$M$9:$M$25),PRDates[[#This Row],[MON]]),PRDates[[#This Row],[MON]])</f>
        <v>45560</v>
      </c>
      <c r="AC13" s="159">
        <f>MONPdays</f>
        <v>45560</v>
      </c>
      <c r="AD13" s="159">
        <f t="shared" si="4"/>
        <v>33</v>
      </c>
      <c r="AE13" s="158">
        <f>IFERROR(IF(PRDates[[#This Row],[MON]]=INDEX($M$9:$M$25,MATCH(PRDates[[#This Row],[MON]],$M$9:$M$25,0)),WORKDAY(PRDates[[#This Row],[MON]],-1,$M$9:$M$25),PRDates[[#This Row],[MON]]),PRDates[[#This Row],[MON]])</f>
        <v>45560</v>
      </c>
      <c r="AF13" s="1">
        <v>5</v>
      </c>
      <c r="AG13" s="1"/>
      <c r="AH13" s="1"/>
    </row>
    <row r="14" spans="1:34" x14ac:dyDescent="0.2">
      <c r="A14" s="42">
        <v>0.26388888888888901</v>
      </c>
      <c r="B14" s="43">
        <f>75/1440</f>
        <v>5.2083333333333336E-2</v>
      </c>
      <c r="C14" s="5"/>
      <c r="D14" s="3"/>
      <c r="E14" s="3"/>
      <c r="F14" s="3"/>
      <c r="G14" s="3"/>
      <c r="H14" s="3"/>
      <c r="I14" s="3"/>
      <c r="J14" s="3"/>
      <c r="K14" s="3"/>
      <c r="L14" s="7"/>
      <c r="M14" s="19">
        <f>DATE(L9,12,25)</f>
        <v>45651</v>
      </c>
      <c r="N14" s="9" t="s">
        <v>34</v>
      </c>
      <c r="O14" s="38">
        <v>44190</v>
      </c>
      <c r="Q14" s="14" t="s">
        <v>49</v>
      </c>
      <c r="R14" s="211">
        <f>PRDates[[#This Row],[C1]]</f>
        <v>45580</v>
      </c>
      <c r="S14" s="212">
        <f>IF(WEEKDAY(DATE($B$1,MONTH(S13)+1,DAY($R$9))={1,7}),WORKDAY(DATE($B$1,MONTH(S13)+1,DAY($R$9))+1,-1),DATE($B$1,MONTH(S13)+1,DAY($R$9)))</f>
        <v>45580</v>
      </c>
      <c r="T14" s="200">
        <f>IF(PCPdays-T13&gt;35,Days35,PCPdays)</f>
        <v>45589</v>
      </c>
      <c r="U14" s="200">
        <f t="shared" si="2"/>
        <v>29</v>
      </c>
      <c r="V14" s="201">
        <f t="shared" si="1"/>
        <v>45589</v>
      </c>
      <c r="W14" s="187">
        <f>MONPdays</f>
        <v>45590</v>
      </c>
      <c r="X14" s="188">
        <f>W14-W13</f>
        <v>30</v>
      </c>
      <c r="Y14" s="189">
        <f>IFERROR(IF(PRDates[[#This Row],[MON]]=INDEX($M$9:$M$25,MATCH(PRDates[[#This Row],[MON]],$M$9:$M$25,0)),WORKDAY(PRDates[[#This Row],[MON]],-1,$M$9:$M$25),PRDates[[#This Row],[MON]]),PRDates[[#This Row],[MON]])</f>
        <v>45590</v>
      </c>
      <c r="Z14" s="172">
        <f>MONPdays</f>
        <v>45590</v>
      </c>
      <c r="AA14" s="173">
        <f t="shared" si="3"/>
        <v>30</v>
      </c>
      <c r="AB14" s="174">
        <f>IFERROR(IF(PRDates[[#This Row],[MON]]=INDEX($M$9:$M$25,MATCH(PRDates[[#This Row],[MON]],$M$9:$M$25,0)),WORKDAY(PRDates[[#This Row],[MON]],-1,$M$9:$M$25),PRDates[[#This Row],[MON]]),PRDates[[#This Row],[MON]])</f>
        <v>45590</v>
      </c>
      <c r="AC14" s="159">
        <f>MONPdays</f>
        <v>45590</v>
      </c>
      <c r="AD14" s="159">
        <f t="shared" si="4"/>
        <v>30</v>
      </c>
      <c r="AE14" s="158">
        <f>IFERROR(IF(PRDates[[#This Row],[MON]]=INDEX($M$9:$M$25,MATCH(PRDates[[#This Row],[MON]],$M$9:$M$25,0)),WORKDAY(PRDates[[#This Row],[MON]],-1,$M$9:$M$25),PRDates[[#This Row],[MON]]),PRDates[[#This Row],[MON]])</f>
        <v>45590</v>
      </c>
      <c r="AF14" s="1">
        <v>6</v>
      </c>
      <c r="AG14" s="1"/>
      <c r="AH14" s="1"/>
    </row>
    <row r="15" spans="1:34" x14ac:dyDescent="0.2">
      <c r="A15" s="42">
        <v>0.26736111111111099</v>
      </c>
      <c r="B15" s="43">
        <f>90/1440</f>
        <v>6.25E-2</v>
      </c>
      <c r="C15" s="5"/>
      <c r="D15" s="24"/>
      <c r="E15" s="24"/>
      <c r="F15" s="24"/>
      <c r="G15" s="3"/>
      <c r="H15" s="3"/>
      <c r="I15" s="3"/>
      <c r="J15" s="3"/>
      <c r="K15" s="3"/>
      <c r="L15" s="36"/>
      <c r="M15" s="19">
        <f>DATE(L9,6,1)-WEEKDAY(DATE(L9,6,6))</f>
        <v>45439</v>
      </c>
      <c r="N15" s="9" t="s">
        <v>39</v>
      </c>
      <c r="O15" s="27" t="s">
        <v>40</v>
      </c>
      <c r="Q15" s="14" t="s">
        <v>49</v>
      </c>
      <c r="R15" s="211">
        <f>PRDates[[#This Row],[C1]]</f>
        <v>45611</v>
      </c>
      <c r="S15" s="212">
        <f>IF(WEEKDAY(DATE($B$1,MONTH(S14)+1,DAY($R$9))={1,7}),WORKDAY(DATE($B$1,MONTH(S14)+1,DAY($R$9))+1,-1),DATE($B$1,MONTH(S14)+1,DAY($R$9)))</f>
        <v>45611</v>
      </c>
      <c r="T15" s="200">
        <f>IF(PCPdays=M12,PCPdays-1,IF(PCPdays-T14&gt;35,Days35,PCPdays))</f>
        <v>45621</v>
      </c>
      <c r="U15" s="200">
        <f t="shared" si="2"/>
        <v>32</v>
      </c>
      <c r="V15" s="201">
        <f t="shared" si="1"/>
        <v>45621</v>
      </c>
      <c r="W15" s="187">
        <f>MONPdays</f>
        <v>45621</v>
      </c>
      <c r="X15" s="188">
        <f>W15-W14</f>
        <v>31</v>
      </c>
      <c r="Y15" s="189">
        <f>IFERROR(IF(PRDates[[#This Row],[MON]]=INDEX($M$9:$M$25,MATCH(PRDates[[#This Row],[MON]],$M$9:$M$25,0)),WORKDAY(PRDates[[#This Row],[MON]],-1,$M$9:$M$25),PRDates[[#This Row],[MON]]),PRDates[[#This Row],[MON]])</f>
        <v>45621</v>
      </c>
      <c r="Z15" s="172">
        <f>MONPdays</f>
        <v>45621</v>
      </c>
      <c r="AA15" s="173">
        <f t="shared" si="3"/>
        <v>31</v>
      </c>
      <c r="AB15" s="174">
        <f>IFERROR(IF(PRDates[[#This Row],[MON]]=INDEX($M$9:$M$25,MATCH(PRDates[[#This Row],[MON]],$M$9:$M$25,0)),WORKDAY(PRDates[[#This Row],[MON]],-1,$M$9:$M$25),PRDates[[#This Row],[MON]]),PRDates[[#This Row],[MON]])</f>
        <v>45621</v>
      </c>
      <c r="AC15" s="159">
        <f>MONPdays</f>
        <v>45621</v>
      </c>
      <c r="AD15" s="159">
        <f t="shared" si="4"/>
        <v>31</v>
      </c>
      <c r="AE15" s="158">
        <f>IFERROR(IF(PRDates[[#This Row],[MON]]=INDEX($M$9:$M$25,MATCH(PRDates[[#This Row],[MON]],$M$9:$M$25,0)),WORKDAY(PRDates[[#This Row],[MON]],-1,$M$9:$M$25),PRDates[[#This Row],[MON]]),PRDates[[#This Row],[MON]])</f>
        <v>45621</v>
      </c>
      <c r="AF15" s="1">
        <v>7</v>
      </c>
      <c r="AG15" s="1"/>
      <c r="AH15" s="1"/>
    </row>
    <row r="16" spans="1:34" x14ac:dyDescent="0.2">
      <c r="A16" s="42">
        <v>0.27083333333333298</v>
      </c>
      <c r="B16" s="43">
        <f>105/1440</f>
        <v>7.2916666666666671E-2</v>
      </c>
      <c r="C16" s="5"/>
      <c r="D16" s="24" t="s">
        <v>121</v>
      </c>
      <c r="E16" s="24"/>
      <c r="F16" s="24"/>
      <c r="G16" s="3">
        <f>G10-G9</f>
        <v>14</v>
      </c>
      <c r="H16" s="3">
        <f t="shared" ref="H16:J16" si="6">H10-H9</f>
        <v>0</v>
      </c>
      <c r="I16" s="3">
        <f t="shared" si="6"/>
        <v>13</v>
      </c>
      <c r="J16" s="3">
        <f t="shared" si="6"/>
        <v>12</v>
      </c>
      <c r="K16" s="3"/>
      <c r="L16" s="36"/>
      <c r="M16" s="19">
        <f>DATE(L9,6,19)</f>
        <v>45462</v>
      </c>
      <c r="N16" s="9" t="s">
        <v>103</v>
      </c>
      <c r="O16" s="3" t="s">
        <v>104</v>
      </c>
      <c r="Q16" s="14" t="s">
        <v>49</v>
      </c>
      <c r="R16" s="211">
        <f>PRDates[[#This Row],[C1]]</f>
        <v>45639</v>
      </c>
      <c r="S16" s="212">
        <f>IF(WEEKDAY(DATE($B$1,MONTH(S15)+1,DAY($R$9))={1,7}),WORKDAY(DATE($B$1,MONTH(S15)+1,DAY($R$9))+1,-1),DATE($B$1,MONTH(S15)+1,DAY($R$9)))</f>
        <v>45639</v>
      </c>
      <c r="T16" s="200">
        <f>G9-1</f>
        <v>45645</v>
      </c>
      <c r="U16" s="200">
        <f t="shared" si="2"/>
        <v>24</v>
      </c>
      <c r="V16" s="201">
        <f t="shared" si="1"/>
        <v>45645</v>
      </c>
      <c r="W16" s="187">
        <f>MONPdays</f>
        <v>45651</v>
      </c>
      <c r="X16" s="188">
        <f t="shared" si="5"/>
        <v>30</v>
      </c>
      <c r="Y16" s="189">
        <f>IFERROR(IF(PRDates[[#This Row],[MON]]=INDEX($M$9:$M$25,MATCH(PRDates[[#This Row],[MON]],$M$9:$M$25,0)),WORKDAY(PRDates[[#This Row],[MON]],-1,$M$9:$M$25),PRDates[[#This Row],[MON]]),PRDates[[#This Row],[MON]])</f>
        <v>45650</v>
      </c>
      <c r="Z16" s="172">
        <f>MONPdays</f>
        <v>45651</v>
      </c>
      <c r="AA16" s="173">
        <f t="shared" si="3"/>
        <v>30</v>
      </c>
      <c r="AB16" s="174">
        <f>IFERROR(IF(PRDates[[#This Row],[MON]]=INDEX($M$9:$M$25,MATCH(PRDates[[#This Row],[MON]],$M$9:$M$25,0)),WORKDAY(PRDates[[#This Row],[MON]],-1,$M$9:$M$25),PRDates[[#This Row],[MON]]),PRDates[[#This Row],[MON]])</f>
        <v>45650</v>
      </c>
      <c r="AC16" s="159">
        <f>MONPdays</f>
        <v>45651</v>
      </c>
      <c r="AD16" s="159">
        <f t="shared" si="4"/>
        <v>30</v>
      </c>
      <c r="AE16" s="158">
        <f>IFERROR(IF(PRDates[[#This Row],[MON]]=INDEX($M$9:$M$25,MATCH(PRDates[[#This Row],[MON]],$M$9:$M$25,0)),WORKDAY(PRDates[[#This Row],[MON]],-1,$M$9:$M$25),PRDates[[#This Row],[MON]]),PRDates[[#This Row],[MON]])</f>
        <v>45650</v>
      </c>
      <c r="AF16" s="1">
        <v>8</v>
      </c>
      <c r="AG16" s="1"/>
      <c r="AH16" s="1"/>
    </row>
    <row r="17" spans="1:34" x14ac:dyDescent="0.2">
      <c r="A17" s="42">
        <v>0.27430555555555602</v>
      </c>
      <c r="B17" s="43">
        <f>120/1440</f>
        <v>8.3333333333333329E-2</v>
      </c>
      <c r="C17" s="5"/>
      <c r="D17" s="24">
        <f>MAX($G$16:$J$16)+1</f>
        <v>15</v>
      </c>
      <c r="E17" s="24"/>
      <c r="F17" s="24"/>
      <c r="G17" s="3"/>
      <c r="H17" s="3"/>
      <c r="I17" s="3"/>
      <c r="J17" s="3"/>
      <c r="L17" s="7">
        <f>C1</f>
        <v>2025</v>
      </c>
      <c r="M17" s="19">
        <f>DATE(L17,1,1)</f>
        <v>45658</v>
      </c>
      <c r="N17" s="9" t="s">
        <v>35</v>
      </c>
      <c r="O17" s="38">
        <v>43831</v>
      </c>
      <c r="Q17" s="14" t="s">
        <v>49</v>
      </c>
      <c r="R17" s="211">
        <f>PRDates[[#This Row],[C1]]</f>
        <v>45672</v>
      </c>
      <c r="S17" s="212">
        <f>IF(WEEKDAY(DATE($B$1,MONTH(S16)+1,DAY($R$9))={1,7}),WORKDAY(DATE($B$1,MONTH(S16)+1,DAY($R$9))+1,-1),DATE($B$1,MONTH(S16)+1,DAY($R$9)))</f>
        <v>45672</v>
      </c>
      <c r="T17" s="200">
        <f>IF(PCPdays-T16&gt;35,IF(WEEKDAY((T16+35)=6),(T16+35),IF(WEEKDAY((T16+35)=7),(T16+33),IF(WEEKDAY((T16+35)=1),(T16+32),T16+35))),PCPdays)</f>
        <v>45680</v>
      </c>
      <c r="U17" s="200">
        <f t="shared" si="2"/>
        <v>35</v>
      </c>
      <c r="V17" s="201">
        <f t="shared" si="1"/>
        <v>45680</v>
      </c>
      <c r="W17" s="187">
        <f>MONPdays</f>
        <v>45681</v>
      </c>
      <c r="X17" s="188">
        <f>W17-W16</f>
        <v>30</v>
      </c>
      <c r="Y17" s="189">
        <f>IFERROR(IF(PRDates[[#This Row],[MON]]=INDEX($M$9:$M$25,MATCH(PRDates[[#This Row],[MON]],$M$9:$M$25,0)),WORKDAY(PRDates[[#This Row],[MON]],-1,$M$9:$M$25),PRDates[[#This Row],[MON]]),PRDates[[#This Row],[MON]])</f>
        <v>45681</v>
      </c>
      <c r="Z17" s="172">
        <f>MONPdays</f>
        <v>45681</v>
      </c>
      <c r="AA17" s="173">
        <f t="shared" si="3"/>
        <v>30</v>
      </c>
      <c r="AB17" s="174">
        <f>IFERROR(IF(PRDates[[#This Row],[MON]]=INDEX($M$9:$M$25,MATCH(PRDates[[#This Row],[MON]],$M$9:$M$25,0)),WORKDAY(PRDates[[#This Row],[MON]],-1,$M$9:$M$25),PRDates[[#This Row],[MON]]),PRDates[[#This Row],[MON]])</f>
        <v>45681</v>
      </c>
      <c r="AC17" s="159">
        <f>MONPdays</f>
        <v>45681</v>
      </c>
      <c r="AD17" s="159">
        <f t="shared" si="4"/>
        <v>30</v>
      </c>
      <c r="AE17" s="158">
        <f>IFERROR(IF(PRDates[[#This Row],[MON]]=INDEX($M$9:$M$25,MATCH(PRDates[[#This Row],[MON]],$M$9:$M$25,0)),WORKDAY(PRDates[[#This Row],[MON]],-1,$M$9:$M$25),PRDates[[#This Row],[MON]]),PRDates[[#This Row],[MON]])</f>
        <v>45681</v>
      </c>
      <c r="AF17" s="1">
        <v>9</v>
      </c>
      <c r="AG17" s="1"/>
      <c r="AH17" s="1"/>
    </row>
    <row r="18" spans="1:34" x14ac:dyDescent="0.2">
      <c r="A18" s="42">
        <v>0.27777777777777801</v>
      </c>
      <c r="B18" s="43">
        <f>135/1440</f>
        <v>9.375E-2</v>
      </c>
      <c r="C18" s="5"/>
      <c r="D18" s="24" t="s">
        <v>123</v>
      </c>
      <c r="E18" s="24"/>
      <c r="F18" s="24"/>
      <c r="G18" s="3">
        <f>G12-G11+1</f>
        <v>5</v>
      </c>
      <c r="H18" s="3">
        <f t="shared" ref="H18:J18" si="7">H12-H11+1</f>
        <v>1</v>
      </c>
      <c r="I18" s="3">
        <f t="shared" si="7"/>
        <v>5</v>
      </c>
      <c r="J18" s="3">
        <f t="shared" si="7"/>
        <v>5</v>
      </c>
      <c r="L18" s="7"/>
      <c r="M18" s="19">
        <f>DATE(L17,1,1)+14+CHOOSE(WEEKDAY(DATE(L17,1,1)),1,0,6,5,4,3,2)</f>
        <v>45677</v>
      </c>
      <c r="N18" s="9" t="s">
        <v>44</v>
      </c>
      <c r="O18" s="27" t="s">
        <v>36</v>
      </c>
      <c r="Q18" s="14" t="s">
        <v>49</v>
      </c>
      <c r="R18" s="211">
        <f>PRDates[[#This Row],[C1]]</f>
        <v>45702</v>
      </c>
      <c r="S18" s="212">
        <f>IF(WEEKDAY(DATE($C$1,MONTH(S17)+1,DAY($R$9))={1,7}),WORKDAY(DATE($C$1,MONTH(S17)+1,DAY($R$9))+1,-1),DATE($C$1,MONTH(S17)+1,DAY($R$9)))</f>
        <v>45702</v>
      </c>
      <c r="T18" s="200">
        <f>IF(PCPdays-T17&gt;35,IF(WEEKDAY((T17+35)=6),T17+35,IF(WEEKDAY((T17+35)=7),T17+33,IF(WEEKDAY((T17+35)=1),T17+32,T17+35))),PCPdays)</f>
        <v>45713</v>
      </c>
      <c r="U18" s="200">
        <f t="shared" si="2"/>
        <v>33</v>
      </c>
      <c r="V18" s="201">
        <f t="shared" si="1"/>
        <v>45713</v>
      </c>
      <c r="W18" s="187">
        <f>MONPdays</f>
        <v>45713</v>
      </c>
      <c r="X18" s="188">
        <f>W18-W17</f>
        <v>32</v>
      </c>
      <c r="Y18" s="189">
        <f>IFERROR(IF(PRDates[[#This Row],[MON]]=INDEX($M$9:$M$25,MATCH(PRDates[[#This Row],[MON]],$M$9:$M$25,0)),WORKDAY(PRDates[[#This Row],[MON]],-1,$M$9:$M$25),PRDates[[#This Row],[MON]]),PRDates[[#This Row],[MON]])</f>
        <v>45713</v>
      </c>
      <c r="Z18" s="172">
        <f>MONPdays</f>
        <v>45713</v>
      </c>
      <c r="AA18" s="173">
        <f t="shared" si="3"/>
        <v>32</v>
      </c>
      <c r="AB18" s="174">
        <f>IFERROR(IF(PRDates[[#This Row],[MON]]=INDEX($M$9:$M$25,MATCH(PRDates[[#This Row],[MON]],$M$9:$M$25,0)),WORKDAY(PRDates[[#This Row],[MON]],-1,$M$9:$M$25),PRDates[[#This Row],[MON]]),PRDates[[#This Row],[MON]])</f>
        <v>45713</v>
      </c>
      <c r="AC18" s="159">
        <f>MONPdays</f>
        <v>45713</v>
      </c>
      <c r="AD18" s="159">
        <f t="shared" si="4"/>
        <v>32</v>
      </c>
      <c r="AE18" s="158">
        <f>IFERROR(IF(PRDates[[#This Row],[MON]]=INDEX($M$9:$M$25,MATCH(PRDates[[#This Row],[MON]],$M$9:$M$25,0)),WORKDAY(PRDates[[#This Row],[MON]],-1,$M$9:$M$25),PRDates[[#This Row],[MON]]),PRDates[[#This Row],[MON]])</f>
        <v>45713</v>
      </c>
      <c r="AF18" s="1">
        <v>10</v>
      </c>
      <c r="AG18" s="1"/>
      <c r="AH18" s="1"/>
    </row>
    <row r="19" spans="1:34" x14ac:dyDescent="0.2">
      <c r="A19" s="42">
        <v>0.28125</v>
      </c>
      <c r="B19" s="43">
        <f>150/1440</f>
        <v>0.10416666666666667</v>
      </c>
      <c r="C19" s="5"/>
      <c r="D19" s="24">
        <f>MAX(G18:J18)</f>
        <v>5</v>
      </c>
      <c r="E19" s="24"/>
      <c r="F19" s="24"/>
      <c r="G19" s="3"/>
      <c r="H19" s="3"/>
      <c r="I19" s="3"/>
      <c r="J19" s="3"/>
      <c r="L19" s="7"/>
      <c r="M19" s="19">
        <f>DATE(L17,2,1)+14+CHOOSE(WEEKDAY(DATE(L17,2,1)),1,0,6,5,4,3,2)</f>
        <v>45705</v>
      </c>
      <c r="N19" s="9" t="s">
        <v>37</v>
      </c>
      <c r="O19" s="27" t="s">
        <v>38</v>
      </c>
      <c r="Q19" s="14" t="s">
        <v>49</v>
      </c>
      <c r="R19" s="211">
        <f>PRDates[[#This Row],[C1]]</f>
        <v>45730</v>
      </c>
      <c r="S19" s="212">
        <f>IF(WEEKDAY(DATE($C$1,MONTH(S18)+1,DAY($R$9))={1,7}),WORKDAY(DATE($C$1,MONTH(S18)+1,DAY($R$9))+1,-1),DATE($C$1,MONTH(S18)+1,DAY($R$9)))</f>
        <v>45730</v>
      </c>
      <c r="T19" s="200">
        <f>IF(PCPdays-T18&gt;=36,IF(WEEKDAY((T18+35)=6),T18+34,IF(WEEKDAY((T18+35)=7),T18+33,IF(WEEKDAY((T18+35)=1),T18+32,T18+35))),PCPdays)</f>
        <v>45741</v>
      </c>
      <c r="U19" s="200">
        <f t="shared" si="2"/>
        <v>28</v>
      </c>
      <c r="V19" s="201">
        <f t="shared" si="1"/>
        <v>45741</v>
      </c>
      <c r="W19" s="187">
        <f>MONPdays</f>
        <v>45741</v>
      </c>
      <c r="X19" s="188">
        <f t="shared" si="5"/>
        <v>28</v>
      </c>
      <c r="Y19" s="189">
        <f>IFERROR(IF(PRDates[[#This Row],[MON]]=INDEX($M$9:$M$25,MATCH(PRDates[[#This Row],[MON]],$M$9:$M$25,0)),WORKDAY(PRDates[[#This Row],[MON]],-1,$M$9:$M$25),PRDates[[#This Row],[MON]]),PRDates[[#This Row],[MON]])</f>
        <v>45741</v>
      </c>
      <c r="Z19" s="172">
        <f>MONPdays</f>
        <v>45741</v>
      </c>
      <c r="AA19" s="173">
        <f t="shared" si="3"/>
        <v>28</v>
      </c>
      <c r="AB19" s="174">
        <f>IFERROR(IF(PRDates[[#This Row],[MON]]=INDEX($M$9:$M$25,MATCH(PRDates[[#This Row],[MON]],$M$9:$M$25,0)),WORKDAY(PRDates[[#This Row],[MON]],-1,$M$9:$M$25),PRDates[[#This Row],[MON]]),PRDates[[#This Row],[MON]])</f>
        <v>45741</v>
      </c>
      <c r="AC19" s="159">
        <f>MONPdays</f>
        <v>45741</v>
      </c>
      <c r="AD19" s="159">
        <f t="shared" si="4"/>
        <v>28</v>
      </c>
      <c r="AE19" s="158">
        <f>IFERROR(IF(PRDates[[#This Row],[MON]]=INDEX($M$9:$M$25,MATCH(PRDates[[#This Row],[MON]],$M$9:$M$25,0)),WORKDAY(PRDates[[#This Row],[MON]],-1,$M$9:$M$25),PRDates[[#This Row],[MON]]),PRDates[[#This Row],[MON]])</f>
        <v>45741</v>
      </c>
      <c r="AF19" s="1">
        <v>11</v>
      </c>
      <c r="AG19" s="1"/>
      <c r="AH19" s="1"/>
    </row>
    <row r="20" spans="1:34" x14ac:dyDescent="0.2">
      <c r="A20" s="42">
        <v>0.28472222222222199</v>
      </c>
      <c r="B20" s="43">
        <f>165/1440</f>
        <v>0.11458333333333333</v>
      </c>
      <c r="C20" s="5"/>
      <c r="D20" s="24"/>
      <c r="E20" s="24"/>
      <c r="F20" s="24"/>
      <c r="G20" s="3"/>
      <c r="H20" s="3"/>
      <c r="I20" s="3"/>
      <c r="J20" s="3"/>
      <c r="L20" s="7"/>
      <c r="M20" s="19">
        <f>DATE(L17,6,1)-WEEKDAY(DATE(L17,6,6))</f>
        <v>45803</v>
      </c>
      <c r="N20" s="9" t="s">
        <v>39</v>
      </c>
      <c r="O20" s="27" t="s">
        <v>40</v>
      </c>
      <c r="Q20" s="14" t="s">
        <v>49</v>
      </c>
      <c r="R20" s="211">
        <f>PRDates[[#This Row],[C1]]</f>
        <v>45762</v>
      </c>
      <c r="S20" s="212">
        <f>IF(WEEKDAY(DATE($C$1,MONTH(S19)+1,DAY($R$9))={1,7}),WORKDAY(DATE($C$1,MONTH(S19)+1,DAY($R$9))+1,-1),DATE($C$1,MONTH(S19)+1,DAY($R$9)))</f>
        <v>45762</v>
      </c>
      <c r="T20" s="200">
        <f>IF(PCPdays-T19&gt;=36,IF(WEEKDAY((T19+35)=6),T19+34,IF(WEEKDAY((T19+35)=7),T19+33,IF(WEEKDAY((T19+35)=1),T19+32,T19+35))),PCPdays)</f>
        <v>45771</v>
      </c>
      <c r="U20" s="200">
        <f t="shared" si="2"/>
        <v>30</v>
      </c>
      <c r="V20" s="201">
        <f t="shared" si="1"/>
        <v>45771</v>
      </c>
      <c r="W20" s="187">
        <f>MONPdays</f>
        <v>45772</v>
      </c>
      <c r="X20" s="188">
        <f t="shared" si="5"/>
        <v>31</v>
      </c>
      <c r="Y20" s="189">
        <f>IFERROR(IF(PRDates[[#This Row],[MON]]=INDEX($M$9:$M$25,MATCH(PRDates[[#This Row],[MON]],$M$9:$M$25,0)),WORKDAY(PRDates[[#This Row],[MON]],-1,$M$9:$M$25),PRDates[[#This Row],[MON]]),PRDates[[#This Row],[MON]])</f>
        <v>45772</v>
      </c>
      <c r="Z20" s="172">
        <f>MONPdays</f>
        <v>45772</v>
      </c>
      <c r="AA20" s="173">
        <f t="shared" si="3"/>
        <v>31</v>
      </c>
      <c r="AB20" s="174">
        <f>IFERROR(IF(PRDates[[#This Row],[MON]]=INDEX($M$9:$M$25,MATCH(PRDates[[#This Row],[MON]],$M$9:$M$25,0)),WORKDAY(PRDates[[#This Row],[MON]],-1,$M$9:$M$25),PRDates[[#This Row],[MON]]),PRDates[[#This Row],[MON]])</f>
        <v>45772</v>
      </c>
      <c r="AC20" s="159">
        <f>MONPdays</f>
        <v>45772</v>
      </c>
      <c r="AD20" s="159">
        <f t="shared" si="4"/>
        <v>31</v>
      </c>
      <c r="AE20" s="158">
        <f>IFERROR(IF(PRDates[[#This Row],[MON]]=INDEX($M$9:$M$25,MATCH(PRDates[[#This Row],[MON]],$M$9:$M$25,0)),WORKDAY(PRDates[[#This Row],[MON]],-1,$M$9:$M$25),PRDates[[#This Row],[MON]]),PRDates[[#This Row],[MON]])</f>
        <v>45772</v>
      </c>
      <c r="AF20" s="1">
        <v>12</v>
      </c>
      <c r="AG20" s="1"/>
      <c r="AH20" s="1"/>
    </row>
    <row r="21" spans="1:34" x14ac:dyDescent="0.2">
      <c r="A21" s="42">
        <v>0.28819444444444398</v>
      </c>
      <c r="B21" s="43">
        <f>180/1440</f>
        <v>0.125</v>
      </c>
      <c r="C21" s="5"/>
      <c r="D21" s="24"/>
      <c r="E21" s="24"/>
      <c r="F21" s="24"/>
      <c r="G21" s="3"/>
      <c r="H21" s="3"/>
      <c r="I21" s="3"/>
      <c r="J21" s="3"/>
      <c r="L21" s="7"/>
      <c r="M21" s="19">
        <f>DATE(L17,6,19)</f>
        <v>45827</v>
      </c>
      <c r="N21" s="9" t="s">
        <v>103</v>
      </c>
      <c r="O21" s="3" t="s">
        <v>104</v>
      </c>
      <c r="Q21" s="14" t="s">
        <v>49</v>
      </c>
      <c r="R21" s="211">
        <f>PRDates[[#This Row],[C1]]</f>
        <v>45792</v>
      </c>
      <c r="S21" s="212">
        <f>IF(WEEKDAY(DATE($C$1,MONTH(S20)+1,DAY($R$9))={1,7}),WORKDAY(DATE($C$1,MONTH(S20)+1,DAY($R$9))+1,-1),DATE($C$1,MONTH(S20)+1,DAY($R$9)))</f>
        <v>45792</v>
      </c>
      <c r="T21" s="200">
        <f>IF(PCPdays-T20&gt;=36,IF(WEEKDAY((T20+35)=6),T20+34,IF(WEEKDAY((T20+35)=7),T20+33,IF(WEEKDAY((T20+35)=1),T20+32,T20+35))),PCPdays)</f>
        <v>45799</v>
      </c>
      <c r="U21" s="200">
        <f t="shared" si="2"/>
        <v>28</v>
      </c>
      <c r="V21" s="201">
        <f t="shared" si="1"/>
        <v>45799</v>
      </c>
      <c r="W21" s="187">
        <f>MONPdays</f>
        <v>45800</v>
      </c>
      <c r="X21" s="188">
        <f t="shared" si="5"/>
        <v>28</v>
      </c>
      <c r="Y21" s="189">
        <f>IFERROR(IF(PRDates[[#This Row],[MON]]=INDEX($M$9:$M$25,MATCH(PRDates[[#This Row],[MON]],$M$9:$M$25,0)),WORKDAY(PRDates[[#This Row],[MON]],-1,$M$9:$M$25),PRDates[[#This Row],[MON]]),PRDates[[#This Row],[MON]])</f>
        <v>45800</v>
      </c>
      <c r="Z21" s="172">
        <f>MONPdays</f>
        <v>45800</v>
      </c>
      <c r="AA21" s="173">
        <f t="shared" si="3"/>
        <v>28</v>
      </c>
      <c r="AB21" s="174">
        <f>IFERROR(IF(PRDates[[#This Row],[MON]]=INDEX($M$9:$M$25,MATCH(PRDates[[#This Row],[MON]],$M$9:$M$25,0)),WORKDAY(PRDates[[#This Row],[MON]],-1,$M$9:$M$25),PRDates[[#This Row],[MON]]),PRDates[[#This Row],[MON]])</f>
        <v>45800</v>
      </c>
      <c r="AC21" s="159">
        <f>MONPdays</f>
        <v>45800</v>
      </c>
      <c r="AD21" s="159">
        <f t="shared" si="4"/>
        <v>28</v>
      </c>
      <c r="AE21" s="158">
        <f>IFERROR(IF(PRDates[[#This Row],[MON]]=INDEX($M$9:$M$25,MATCH(PRDates[[#This Row],[MON]],$M$9:$M$25,0)),WORKDAY(PRDates[[#This Row],[MON]],-1,$M$9:$M$25),PRDates[[#This Row],[MON]]),PRDates[[#This Row],[MON]])</f>
        <v>45800</v>
      </c>
      <c r="AF21" s="1">
        <v>13</v>
      </c>
      <c r="AG21" s="1"/>
      <c r="AH21" s="1"/>
    </row>
    <row r="22" spans="1:34" x14ac:dyDescent="0.2">
      <c r="A22" s="42">
        <v>0.29166666666666702</v>
      </c>
      <c r="B22" s="43"/>
      <c r="C22" s="5"/>
      <c r="D22" s="24"/>
      <c r="E22" s="24"/>
      <c r="F22" s="24"/>
      <c r="G22" s="3"/>
      <c r="H22" s="3"/>
      <c r="I22" s="3"/>
      <c r="J22" s="3"/>
      <c r="L22" s="78"/>
      <c r="M22" s="19">
        <f>DATE(L9,6,19)</f>
        <v>45462</v>
      </c>
      <c r="N22" s="9" t="s">
        <v>103</v>
      </c>
      <c r="O22" s="79"/>
      <c r="Q22" s="14" t="s">
        <v>49</v>
      </c>
      <c r="R22" s="211">
        <f>PRDates[[#This Row],[C1]]</f>
        <v>45821</v>
      </c>
      <c r="S22" s="212">
        <f>IF(WEEKDAY(DATE($C$1,MONTH(S21)+1,DAY($R$9))={1,7}),WORKDAY(DATE($C$1,MONTH(S21)+1,DAY($R$9))+1,-1),DATE($C$1,MONTH(S21)+1,DAY($R$9)))</f>
        <v>45821</v>
      </c>
      <c r="T22" s="200">
        <f>IF(PCPdays-T21&gt;=36,IF(WEEKDAY((T21+35)=6),T21+34,IF(WEEKDAY((T21+35)=7),T21+33,IF(WEEKDAY((T21+35)=1),T21+32,T21+35))),PCPdays)</f>
        <v>45833</v>
      </c>
      <c r="U22" s="200">
        <f t="shared" si="2"/>
        <v>34</v>
      </c>
      <c r="V22" s="201">
        <f t="shared" si="1"/>
        <v>45833</v>
      </c>
      <c r="W22" s="187">
        <f>MONPdays</f>
        <v>45833</v>
      </c>
      <c r="X22" s="188">
        <f t="shared" si="5"/>
        <v>33</v>
      </c>
      <c r="Y22" s="189">
        <f>IFERROR(IF(PRDates[[#This Row],[MON]]=INDEX($M$9:$M$25,MATCH(PRDates[[#This Row],[MON]],$M$9:$M$25,0)),WORKDAY(PRDates[[#This Row],[MON]],-1,$M$9:$M$25),PRDates[[#This Row],[MON]]),PRDates[[#This Row],[MON]])</f>
        <v>45833</v>
      </c>
      <c r="Z22" s="172">
        <f>MONPdays</f>
        <v>45833</v>
      </c>
      <c r="AA22" s="173">
        <f t="shared" si="3"/>
        <v>33</v>
      </c>
      <c r="AB22" s="174">
        <f>IFERROR(IF(PRDates[[#This Row],[MON]]=INDEX($M$9:$M$25,MATCH(PRDates[[#This Row],[MON]],$M$9:$M$25,0)),WORKDAY(PRDates[[#This Row],[MON]],-1,$M$9:$M$25),PRDates[[#This Row],[MON]]),PRDates[[#This Row],[MON]])</f>
        <v>45833</v>
      </c>
      <c r="AC22" s="159">
        <f>MONPdays</f>
        <v>45833</v>
      </c>
      <c r="AD22" s="159">
        <f t="shared" si="4"/>
        <v>33</v>
      </c>
      <c r="AE22" s="158">
        <f>IFERROR(IF(PRDates[[#This Row],[MON]]=INDEX($M$9:$M$25,MATCH(PRDates[[#This Row],[MON]],$M$9:$M$25,0)),WORKDAY(PRDates[[#This Row],[MON]],-1,$M$9:$M$25),PRDates[[#This Row],[MON]]),PRDates[[#This Row],[MON]])</f>
        <v>45833</v>
      </c>
      <c r="AF22" s="1">
        <v>14</v>
      </c>
      <c r="AG22" s="1"/>
      <c r="AH22" s="1"/>
    </row>
    <row r="23" spans="1:34" x14ac:dyDescent="0.2">
      <c r="A23" s="42">
        <v>0.29513888888888901</v>
      </c>
      <c r="B23" s="24"/>
      <c r="C23" s="6"/>
      <c r="D23" s="3"/>
      <c r="E23" s="3"/>
      <c r="F23" s="3"/>
      <c r="G23" s="3"/>
      <c r="H23" s="3"/>
      <c r="I23" s="3"/>
      <c r="J23" s="3"/>
      <c r="L23" s="78"/>
      <c r="M23" s="19">
        <f>WORKDAY(M14-1,1)</f>
        <v>45651</v>
      </c>
      <c r="N23" s="9" t="s">
        <v>105</v>
      </c>
      <c r="O23" s="27"/>
      <c r="Q23" s="14" t="s">
        <v>54</v>
      </c>
      <c r="R23" s="211"/>
      <c r="S23" s="212"/>
      <c r="T23" s="200">
        <f>G13</f>
        <v>45820</v>
      </c>
      <c r="U23" s="200"/>
      <c r="V23" s="201">
        <f t="shared" si="1"/>
        <v>45820</v>
      </c>
      <c r="W23" s="187">
        <f>I13</f>
        <v>45813</v>
      </c>
      <c r="X23" s="188"/>
      <c r="Y23" s="189">
        <f t="shared" ref="Y23:Y61" si="8">IF(W23="","",W23)</f>
        <v>45813</v>
      </c>
      <c r="Z23" s="172">
        <f>IF(MONPdays-Z22&gt;35,Days35,MONPdays)</f>
        <v>45863</v>
      </c>
      <c r="AA23" s="173"/>
      <c r="AB23" s="174">
        <f t="shared" ref="AB23:AB60" si="9">IF(Z23="","",Z23)</f>
        <v>45863</v>
      </c>
      <c r="AC23" s="159">
        <f>IF(MONPdays-AC22&gt;35,Days35,MONPdays)</f>
        <v>45863</v>
      </c>
      <c r="AD23" s="159"/>
      <c r="AE23" s="158">
        <f t="shared" ref="AE23" si="10">IF(AC23="","",AC23)</f>
        <v>45863</v>
      </c>
      <c r="AF23" s="1">
        <v>15</v>
      </c>
      <c r="AG23" s="1"/>
      <c r="AH23" s="1"/>
    </row>
    <row r="24" spans="1:34" x14ac:dyDescent="0.2">
      <c r="A24" s="42">
        <v>0.29861111111111099</v>
      </c>
      <c r="B24" s="24"/>
      <c r="C24" s="6"/>
      <c r="D24" s="3"/>
      <c r="E24" s="3"/>
      <c r="F24" s="3"/>
      <c r="G24" s="3"/>
      <c r="H24" s="3"/>
      <c r="I24" s="3"/>
      <c r="J24" s="3"/>
      <c r="L24" s="36"/>
      <c r="M24" s="19">
        <f>WORKDAY(M17-1,1)</f>
        <v>45658</v>
      </c>
      <c r="N24" s="9" t="s">
        <v>106</v>
      </c>
      <c r="O24" s="27"/>
      <c r="Q24" s="15" t="s">
        <v>61</v>
      </c>
      <c r="R24" s="213">
        <f>PRDates[[#This Row],[C1]]</f>
        <v>45453</v>
      </c>
      <c r="S24" s="214">
        <f>IF(WEEKDAY(DATE(YEAR(Worksheet!S10),MONTH(Worksheet!S10),DAY(10)))=7,DATE(YEAR(Worksheet!S10),MONTH(Worksheet!S10),DAY(10)-1),IF(WEEKDAY(DATE(YEAR(Worksheet!S10),MONTH(Worksheet!S10),DAY(10)))=1,DATE(YEAR(Worksheet!S10),MONTH(Worksheet!S10),DAY(10)-2),IF(DATE(YEAR(S10),MONTH(S10),DAY(14))=WEEKDAY(DATE(YEAR(S10),MONTH(S10),DAY(14))),WEEKDAY(DATE(YEAR(S10),MONTH(S10),DAY(14-4))),DATE(YEAR(Worksheet!S10),MONTH(Worksheet!S10),DAY(10)))))</f>
        <v>45453</v>
      </c>
      <c r="T24" s="202">
        <f t="shared" ref="T24:T36" si="11">DATE(YEAR(T10),MONTH(T10),DAY(16))+(WEEKDAY(DATE(YEAR(T10),MONTH(T10),DAY(16)))=7)*2+(WEEKDAY(DATE(YEAR(T10),MONTH(T10),DAY(16)))=1)*1</f>
        <v>45460</v>
      </c>
      <c r="U24" s="202">
        <f>V10-V24</f>
        <v>8</v>
      </c>
      <c r="V24" s="203">
        <f>IFERROR(IF(PRDates[[#This Row],[MON]]=INDEX($M$9:$M$25,MATCH(PRDates[[#This Row],[MON]],$M$9:$M$25,0)),PRDates[[#This Row],[MON]]+1,PRDates[[#This Row],[MON]]),PRDates[[#This Row],[MON]])</f>
        <v>45460</v>
      </c>
      <c r="W24" s="190">
        <f>DATE(YEAR(W10),MONTH(W10),DAY(16))+(WEEKDAY(DATE(YEAR(W10),MONTH(W10),DAY(16)))=7)*2+(WEEKDAY(DATE(YEAR(W10),MONTH(W10),DAY(16)))=1)*1</f>
        <v>45460</v>
      </c>
      <c r="X24" s="191">
        <f>Y10-Y24</f>
        <v>8</v>
      </c>
      <c r="Y24" s="192">
        <f>IFERROR(IF(PRDates[[#This Row],[MON]]=INDEX($M$9:$M$25,MATCH(PRDates[[#This Row],[MON]],$M$9:$M$25,0)),PRDates[[#This Row],[MON]]+1,PRDates[[#This Row],[MON]]),PRDates[[#This Row],[MON]])</f>
        <v>45460</v>
      </c>
      <c r="Z24" s="175">
        <f>DATE(YEAR(Z10),MONTH(Z10),DAY(16))+(WEEKDAY(DATE(YEAR(Z10),MONTH(Z10),DAY(16)))=7)*2+(WEEKDAY(DATE(YEAR(Z10),MONTH(Z10),DAY(16)))=1)*1</f>
        <v>45460</v>
      </c>
      <c r="AA24" s="176">
        <f>AB10-AB24</f>
        <v>8</v>
      </c>
      <c r="AB24" s="177">
        <f>IFERROR(IF(PRDates[[#This Row],[MON]]=INDEX($M$9:$M$25,MATCH(PRDates[[#This Row],[MON]],$M$9:$M$25,0)),PRDates[[#This Row],[MON]]+1,PRDates[[#This Row],[MON]]),PRDates[[#This Row],[MON]])</f>
        <v>45460</v>
      </c>
      <c r="AC24" s="160">
        <f>DATE(YEAR(AC10),MONTH(AC10),DAY(16))+(WEEKDAY(DATE(YEAR(AC10),MONTH(AC10),DAY(16)))=7)*2+(WEEKDAY(DATE(YEAR(AC10),MONTH(AC10),DAY(16)))=1)*1</f>
        <v>45460</v>
      </c>
      <c r="AD24" s="161">
        <f>AE10-AE24</f>
        <v>8</v>
      </c>
      <c r="AE24" s="162">
        <f>IFERROR(IF(PRDates[[#This Row],[MON]]=INDEX($M$9:$M$25,MATCH(PRDates[[#This Row],[MON]],$M$9:$M$25,0)),PRDates[[#This Row],[MON]]+1,PRDates[[#This Row],[MON]]),PRDates[[#This Row],[MON]])</f>
        <v>45460</v>
      </c>
      <c r="AF24" s="112">
        <v>16</v>
      </c>
      <c r="AG24" s="1"/>
      <c r="AH24" s="1"/>
    </row>
    <row r="25" spans="1:34" x14ac:dyDescent="0.2">
      <c r="A25" s="42">
        <v>0.30208333333333298</v>
      </c>
      <c r="B25" s="24"/>
      <c r="C25" s="6"/>
      <c r="D25" s="3"/>
      <c r="E25" s="3"/>
      <c r="F25" s="3"/>
      <c r="G25" s="3"/>
      <c r="H25" s="3"/>
      <c r="I25" s="3"/>
      <c r="J25" s="3"/>
      <c r="L25" s="36"/>
      <c r="M25" s="19"/>
      <c r="N25" s="9"/>
      <c r="O25" s="27"/>
      <c r="Q25" s="15" t="s">
        <v>61</v>
      </c>
      <c r="R25" s="213">
        <f>PRDates[[#This Row],[C1]]</f>
        <v>45483</v>
      </c>
      <c r="S25" s="214">
        <f>IF(WEEKDAY(DATE(YEAR(Worksheet!S11),MONTH(Worksheet!S11),DAY(10)))=7,DATE(YEAR(Worksheet!S11),MONTH(Worksheet!S11),DAY(10)-1),IF(WEEKDAY(DATE(YEAR(Worksheet!S11),MONTH(Worksheet!S11),DAY(10)))=1,DATE(YEAR(Worksheet!S11),MONTH(Worksheet!S11),DAY(10)-2),IF(DATE(YEAR(S11),MONTH(S11),DAY(14))=WEEKDAY(DATE(YEAR(S11),MONTH(S11),DAY(14))),WEEKDAY(DATE(YEAR(S11),MONTH(S11),DAY(14-4))),DATE(YEAR(Worksheet!S11),MONTH(Worksheet!S11),DAY(10)))))</f>
        <v>45483</v>
      </c>
      <c r="T25" s="202">
        <f t="shared" si="11"/>
        <v>45489</v>
      </c>
      <c r="U25" s="202">
        <f t="shared" ref="U25:U36" si="12">V11-V25</f>
        <v>9</v>
      </c>
      <c r="V25" s="203">
        <f>IFERROR(IF(PRDates[[#This Row],[MON]]=INDEX($M$9:$M$25,MATCH(PRDates[[#This Row],[MON]],$M$9:$M$25,0)),PRDates[[#This Row],[MON]]+1,PRDates[[#This Row],[MON]]),PRDates[[#This Row],[MON]])</f>
        <v>45489</v>
      </c>
      <c r="W25" s="190">
        <f t="shared" ref="W25:W36" si="13">DATE(YEAR(W11),MONTH(W11),DAY(16))+(WEEKDAY(DATE(YEAR(W11),MONTH(W11),DAY(16)))=7)*2+(WEEKDAY(DATE(YEAR(W11),MONTH(W11),DAY(16)))=1)*1</f>
        <v>45489</v>
      </c>
      <c r="X25" s="191">
        <f t="shared" ref="X25:X36" si="14">Y11-Y25</f>
        <v>9</v>
      </c>
      <c r="Y25" s="192">
        <f>IFERROR(IF(PRDates[[#This Row],[MON]]=INDEX($M$9:$M$25,MATCH(PRDates[[#This Row],[MON]],$M$9:$M$25,0)),PRDates[[#This Row],[MON]]+1,PRDates[[#This Row],[MON]]),PRDates[[#This Row],[MON]])</f>
        <v>45489</v>
      </c>
      <c r="Z25" s="175">
        <f t="shared" ref="Z25:Z36" si="15">DATE(YEAR(Z11),MONTH(Z11),DAY(16))+(WEEKDAY(DATE(YEAR(Z11),MONTH(Z11),DAY(16)))=7)*2+(WEEKDAY(DATE(YEAR(Z11),MONTH(Z11),DAY(16)))=1)*1</f>
        <v>45489</v>
      </c>
      <c r="AA25" s="176">
        <f t="shared" ref="AA25:AA36" si="16">AB11-AB25</f>
        <v>9</v>
      </c>
      <c r="AB25" s="177">
        <f>IFERROR(IF(PRDates[[#This Row],[MON]]=INDEX($M$9:$M$25,MATCH(PRDates[[#This Row],[MON]],$M$9:$M$25,0)),PRDates[[#This Row],[MON]]+1,PRDates[[#This Row],[MON]]),PRDates[[#This Row],[MON]])</f>
        <v>45489</v>
      </c>
      <c r="AC25" s="160">
        <f t="shared" ref="AC25:AC36" si="17">DATE(YEAR(AC11),MONTH(AC11),DAY(16))+(WEEKDAY(DATE(YEAR(AC11),MONTH(AC11),DAY(16)))=7)*2+(WEEKDAY(DATE(YEAR(AC11),MONTH(AC11),DAY(16)))=1)*1</f>
        <v>45489</v>
      </c>
      <c r="AD25" s="161">
        <f t="shared" ref="AD25:AD36" si="18">AE11-AE25</f>
        <v>9</v>
      </c>
      <c r="AE25" s="162">
        <f>IFERROR(IF(PRDates[[#This Row],[MON]]=INDEX($M$9:$M$25,MATCH(PRDates[[#This Row],[MON]],$M$9:$M$25,0)),PRDates[[#This Row],[MON]]+1,PRDates[[#This Row],[MON]]),PRDates[[#This Row],[MON]])</f>
        <v>45489</v>
      </c>
      <c r="AF25" s="112">
        <v>17</v>
      </c>
      <c r="AG25" s="1"/>
      <c r="AH25" s="1"/>
    </row>
    <row r="26" spans="1:34" x14ac:dyDescent="0.2">
      <c r="A26" s="42">
        <v>0.30555555555555503</v>
      </c>
      <c r="B26" s="24"/>
      <c r="C26" s="6"/>
      <c r="D26" s="3"/>
      <c r="E26" s="3"/>
      <c r="F26" s="3"/>
      <c r="G26" s="3"/>
      <c r="H26" s="3"/>
      <c r="I26" s="3"/>
      <c r="J26" s="3"/>
      <c r="L26" s="36"/>
      <c r="M26" s="19"/>
      <c r="N26" s="9"/>
      <c r="O26" s="27"/>
      <c r="Q26" s="15" t="s">
        <v>61</v>
      </c>
      <c r="R26" s="213">
        <f>PRDates[[#This Row],[C1]]</f>
        <v>45513</v>
      </c>
      <c r="S26" s="214">
        <f>IF(WEEKDAY(DATE(YEAR(Worksheet!S12),MONTH(Worksheet!S12),DAY(10)))=7,DATE(YEAR(Worksheet!S12),MONTH(Worksheet!S12),DAY(10)-1),IF(WEEKDAY(DATE(YEAR(Worksheet!S12),MONTH(Worksheet!S12),DAY(10)))=1,DATE(YEAR(Worksheet!S12),MONTH(Worksheet!S12),DAY(10)-2),IF(DATE(YEAR(S12),MONTH(S12),DAY(14))=WEEKDAY(DATE(YEAR(S12),MONTH(S12),DAY(14))),WEEKDAY(DATE(YEAR(S12),MONTH(S12),DAY(14-4))),DATE(YEAR(Worksheet!S12),MONTH(Worksheet!S12),DAY(10)))))</f>
        <v>45513</v>
      </c>
      <c r="T26" s="202">
        <f t="shared" si="11"/>
        <v>45520</v>
      </c>
      <c r="U26" s="202">
        <f t="shared" si="12"/>
        <v>6</v>
      </c>
      <c r="V26" s="203">
        <f>IFERROR(IF(PRDates[[#This Row],[MON]]=INDEX($M$9:$M$25,MATCH(PRDates[[#This Row],[MON]],$M$9:$M$25,0)),PRDates[[#This Row],[MON]]+1,PRDates[[#This Row],[MON]]),PRDates[[#This Row],[MON]])</f>
        <v>45520</v>
      </c>
      <c r="W26" s="190">
        <f t="shared" si="13"/>
        <v>45520</v>
      </c>
      <c r="X26" s="191">
        <f t="shared" si="14"/>
        <v>7</v>
      </c>
      <c r="Y26" s="192">
        <f>IFERROR(IF(PRDates[[#This Row],[MON]]=INDEX($M$9:$M$25,MATCH(PRDates[[#This Row],[MON]],$M$9:$M$25,0)),PRDates[[#This Row],[MON]]+1,PRDates[[#This Row],[MON]]),PRDates[[#This Row],[MON]])</f>
        <v>45520</v>
      </c>
      <c r="Z26" s="175">
        <f t="shared" si="15"/>
        <v>45520</v>
      </c>
      <c r="AA26" s="176">
        <f t="shared" si="16"/>
        <v>7</v>
      </c>
      <c r="AB26" s="177">
        <f>IFERROR(IF(PRDates[[#This Row],[MON]]=INDEX($M$9:$M$25,MATCH(PRDates[[#This Row],[MON]],$M$9:$M$25,0)),PRDates[[#This Row],[MON]]+1,PRDates[[#This Row],[MON]]),PRDates[[#This Row],[MON]])</f>
        <v>45520</v>
      </c>
      <c r="AC26" s="160">
        <f t="shared" si="17"/>
        <v>45520</v>
      </c>
      <c r="AD26" s="161">
        <f t="shared" si="18"/>
        <v>7</v>
      </c>
      <c r="AE26" s="162">
        <f>IFERROR(IF(PRDates[[#This Row],[MON]]=INDEX($M$9:$M$25,MATCH(PRDates[[#This Row],[MON]],$M$9:$M$25,0)),PRDates[[#This Row],[MON]]+1,PRDates[[#This Row],[MON]]),PRDates[[#This Row],[MON]])</f>
        <v>45520</v>
      </c>
      <c r="AF26" s="112">
        <v>18</v>
      </c>
      <c r="AG26" s="1"/>
      <c r="AH26" s="1"/>
    </row>
    <row r="27" spans="1:34" x14ac:dyDescent="0.2">
      <c r="A27" s="42">
        <v>0.30902777777777801</v>
      </c>
      <c r="B27" s="24"/>
      <c r="C27" s="6"/>
      <c r="D27" s="3"/>
      <c r="E27" s="3"/>
      <c r="F27" s="3"/>
      <c r="G27" s="3"/>
      <c r="H27" s="3"/>
      <c r="I27" s="3"/>
      <c r="J27" s="3"/>
      <c r="L27" s="103">
        <v>1</v>
      </c>
      <c r="M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27" s="20">
        <f t="array" ref="N27">IFERROR(IF($N$2=$K$2,INDEX($Q:$Q,MATCH(M27,$S:$S,0)),IF($N$2=$K$3,INDEX(Q:Q,MATCH(M27,V:V,0)),IF($N$2=$K$4,INDEX(Q:Q,MATCH(M27,Y:Y,0)),IF($N$2=$K$5,INDEX(Q:Q,MATCH(M27,AB:AB,0)),IF($N$2=$K$6,INDEX(Q:Q,MATCH(M27,AE:AE,0))))))),"")</f>
        <v>0</v>
      </c>
      <c r="O27" s="27"/>
      <c r="Q27" s="15" t="s">
        <v>61</v>
      </c>
      <c r="R27" s="213">
        <f>PRDates[[#This Row],[C1]]</f>
        <v>45545</v>
      </c>
      <c r="S27" s="214">
        <f>IF(WEEKDAY(DATE(YEAR(Worksheet!S13),MONTH(Worksheet!S13),DAY(10)))=7,DATE(YEAR(Worksheet!S13),MONTH(Worksheet!S13),DAY(10)-1),IF(WEEKDAY(DATE(YEAR(Worksheet!S13),MONTH(Worksheet!S13),DAY(10)))=1,DATE(YEAR(Worksheet!S13),MONTH(Worksheet!S13),DAY(10)-2),IF(DATE(YEAR(S13),MONTH(S13),DAY(14))=WEEKDAY(DATE(YEAR(S13),MONTH(S13),DAY(14))),WEEKDAY(DATE(YEAR(S13),MONTH(S13),DAY(14-4))),DATE(YEAR(Worksheet!S13),MONTH(Worksheet!S13),DAY(10)))))</f>
        <v>45545</v>
      </c>
      <c r="T27" s="202">
        <f t="shared" si="11"/>
        <v>45551</v>
      </c>
      <c r="U27" s="202">
        <f t="shared" si="12"/>
        <v>9</v>
      </c>
      <c r="V27" s="203">
        <f>IFERROR(IF(PRDates[[#This Row],[MON]]=INDEX($M$9:$M$25,MATCH(PRDates[[#This Row],[MON]],$M$9:$M$25,0)),PRDates[[#This Row],[MON]]+1,PRDates[[#This Row],[MON]]),PRDates[[#This Row],[MON]])</f>
        <v>45551</v>
      </c>
      <c r="W27" s="190">
        <f t="shared" si="13"/>
        <v>45551</v>
      </c>
      <c r="X27" s="191">
        <f t="shared" si="14"/>
        <v>9</v>
      </c>
      <c r="Y27" s="192">
        <f>IFERROR(IF(PRDates[[#This Row],[MON]]=INDEX($M$9:$M$25,MATCH(PRDates[[#This Row],[MON]],$M$9:$M$25,0)),PRDates[[#This Row],[MON]]+1,PRDates[[#This Row],[MON]]),PRDates[[#This Row],[MON]])</f>
        <v>45551</v>
      </c>
      <c r="Z27" s="175">
        <f t="shared" si="15"/>
        <v>45551</v>
      </c>
      <c r="AA27" s="176">
        <f t="shared" si="16"/>
        <v>9</v>
      </c>
      <c r="AB27" s="177">
        <f>IFERROR(IF(PRDates[[#This Row],[MON]]=INDEX($M$9:$M$25,MATCH(PRDates[[#This Row],[MON]],$M$9:$M$25,0)),PRDates[[#This Row],[MON]]+1,PRDates[[#This Row],[MON]]),PRDates[[#This Row],[MON]])</f>
        <v>45551</v>
      </c>
      <c r="AC27" s="160">
        <f t="shared" si="17"/>
        <v>45551</v>
      </c>
      <c r="AD27" s="161">
        <f t="shared" si="18"/>
        <v>9</v>
      </c>
      <c r="AE27" s="162">
        <f>IFERROR(IF(PRDates[[#This Row],[MON]]=INDEX($M$9:$M$25,MATCH(PRDates[[#This Row],[MON]],$M$9:$M$25,0)),PRDates[[#This Row],[MON]]+1,PRDates[[#This Row],[MON]]),PRDates[[#This Row],[MON]])</f>
        <v>45551</v>
      </c>
      <c r="AF27" s="112">
        <v>19</v>
      </c>
      <c r="AG27" s="1"/>
      <c r="AH27" s="1"/>
    </row>
    <row r="28" spans="1:34" x14ac:dyDescent="0.2">
      <c r="A28" s="42">
        <v>0.3125</v>
      </c>
      <c r="B28" s="24"/>
      <c r="C28" s="6"/>
      <c r="D28" s="3"/>
      <c r="E28" s="3"/>
      <c r="F28" s="3"/>
      <c r="G28" s="3"/>
      <c r="H28" s="3"/>
      <c r="I28" s="3"/>
      <c r="J28" s="3"/>
      <c r="L28" s="103">
        <v>2</v>
      </c>
      <c r="M2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45468</v>
      </c>
      <c r="N28" s="20" t="str">
        <f t="array" ref="N28">IFERROR(IF($N$2=$K$2,INDEX($Q:$Q,MATCH(M28,$S:$S,0)),IF($N$2=$K$3,INDEX(Q:Q,MATCH(M28,V:V,0)),IF($N$2=$K$4,INDEX(Q:Q,MATCH(M28,Y:Y,0)),IF($N$2=$K$5,INDEX(Q:Q,MATCH(M28,AB:AB,0)),IF($N$2=$K$6,INDEX(Q:Q,MATCH(M28,AE:AE,0))))))),"")</f>
        <v>Payday</v>
      </c>
      <c r="O28" s="27"/>
      <c r="Q28" s="15" t="s">
        <v>61</v>
      </c>
      <c r="R28" s="213">
        <f>PRDates[[#This Row],[C1]]</f>
        <v>45575</v>
      </c>
      <c r="S28" s="214">
        <f>IF(WEEKDAY(DATE(YEAR(Worksheet!S14),MONTH(Worksheet!S14),DAY(10)))=7,DATE(YEAR(Worksheet!S14),MONTH(Worksheet!S14),DAY(10)-1),IF(WEEKDAY(DATE(YEAR(Worksheet!S14),MONTH(Worksheet!S14),DAY(10)))=1,DATE(YEAR(Worksheet!S14),MONTH(Worksheet!S14),DAY(10)-2),IF(DATE(YEAR(S14),MONTH(S14),DAY(14))=WEEKDAY(DATE(YEAR(S14),MONTH(S14),DAY(14))),WEEKDAY(DATE(YEAR(S14),MONTH(S14),DAY(14-4))),DATE(YEAR(Worksheet!S14),MONTH(Worksheet!S14),DAY(10)))))</f>
        <v>45575</v>
      </c>
      <c r="T28" s="202">
        <f t="shared" si="11"/>
        <v>45581</v>
      </c>
      <c r="U28" s="202">
        <f t="shared" si="12"/>
        <v>8</v>
      </c>
      <c r="V28" s="203">
        <f>IFERROR(IF(PRDates[[#This Row],[MON]]=INDEX($M$9:$M$25,MATCH(PRDates[[#This Row],[MON]],$M$9:$M$25,0)),PRDates[[#This Row],[MON]]+1,PRDates[[#This Row],[MON]]),PRDates[[#This Row],[MON]])</f>
        <v>45581</v>
      </c>
      <c r="W28" s="190">
        <f t="shared" si="13"/>
        <v>45581</v>
      </c>
      <c r="X28" s="191">
        <f t="shared" si="14"/>
        <v>9</v>
      </c>
      <c r="Y28" s="192">
        <f>IFERROR(IF(PRDates[[#This Row],[MON]]=INDEX($M$9:$M$25,MATCH(PRDates[[#This Row],[MON]],$M$9:$M$25,0)),PRDates[[#This Row],[MON]]+1,PRDates[[#This Row],[MON]]),PRDates[[#This Row],[MON]])</f>
        <v>45581</v>
      </c>
      <c r="Z28" s="175">
        <f t="shared" si="15"/>
        <v>45581</v>
      </c>
      <c r="AA28" s="176">
        <f t="shared" si="16"/>
        <v>9</v>
      </c>
      <c r="AB28" s="177">
        <f>IFERROR(IF(PRDates[[#This Row],[MON]]=INDEX($M$9:$M$25,MATCH(PRDates[[#This Row],[MON]],$M$9:$M$25,0)),PRDates[[#This Row],[MON]]+1,PRDates[[#This Row],[MON]]),PRDates[[#This Row],[MON]])</f>
        <v>45581</v>
      </c>
      <c r="AC28" s="160">
        <f t="shared" si="17"/>
        <v>45581</v>
      </c>
      <c r="AD28" s="161">
        <f t="shared" si="18"/>
        <v>9</v>
      </c>
      <c r="AE28" s="162">
        <f>IFERROR(IF(PRDates[[#This Row],[MON]]=INDEX($M$9:$M$25,MATCH(PRDates[[#This Row],[MON]],$M$9:$M$25,0)),PRDates[[#This Row],[MON]]+1,PRDates[[#This Row],[MON]]),PRDates[[#This Row],[MON]])</f>
        <v>45581</v>
      </c>
      <c r="AF28" s="112">
        <v>20</v>
      </c>
      <c r="AG28" s="1"/>
      <c r="AH28" s="1"/>
    </row>
    <row r="29" spans="1:34" x14ac:dyDescent="0.2">
      <c r="A29" s="42">
        <v>0.31597222222222199</v>
      </c>
      <c r="B29" s="24"/>
      <c r="C29" s="6"/>
      <c r="D29" s="3"/>
      <c r="E29" s="3"/>
      <c r="F29" s="3"/>
      <c r="G29" s="3"/>
      <c r="H29" s="3"/>
      <c r="I29" s="3"/>
      <c r="J29" s="3"/>
      <c r="L29" s="104">
        <v>3</v>
      </c>
      <c r="M2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45498</v>
      </c>
      <c r="N29" s="20" t="str">
        <f t="array" ref="N29">IFERROR(IF($N$2=$K$2,INDEX($Q:$Q,MATCH(M29,$S:$S,0)),IF($N$2=$K$3,INDEX(Q:Q,MATCH(M29,V:V,0)),IF($N$2=$K$4,INDEX(Q:Q,MATCH(M29,Y:Y,0)),IF($N$2=$K$5,INDEX(Q:Q,MATCH(M29,AB:AB,0)),IF($N$2=$K$6,INDEX(Q:Q,MATCH(M29,AE:AE,0))))))),"")</f>
        <v>Payday</v>
      </c>
      <c r="O29" s="79"/>
      <c r="Q29" s="15" t="s">
        <v>61</v>
      </c>
      <c r="R29" s="213">
        <f>PRDates[[#This Row],[C1]]</f>
        <v>45604</v>
      </c>
      <c r="S29" s="214">
        <f>IF(WEEKDAY(DATE(YEAR(Worksheet!S15),MONTH(Worksheet!S15),DAY(10)))=7,DATE(YEAR(Worksheet!S15),MONTH(Worksheet!S15),DAY(10)-1),IF(WEEKDAY(DATE(YEAR(Worksheet!S15),MONTH(Worksheet!S15),DAY(10)))=1,DATE(YEAR(Worksheet!S15),MONTH(Worksheet!S15),DAY(10)-2),IF(DATE(YEAR(S15),MONTH(S15),DAY(14))=WEEKDAY(DATE(YEAR(S15),MONTH(S15),DAY(14))),WEEKDAY(DATE(YEAR(S15),MONTH(S15),DAY(14-4))),DATE(YEAR(Worksheet!S15),MONTH(Worksheet!S15),DAY(10)))))</f>
        <v>45604</v>
      </c>
      <c r="T29" s="202">
        <f t="shared" si="11"/>
        <v>45614</v>
      </c>
      <c r="U29" s="202">
        <f t="shared" si="12"/>
        <v>7</v>
      </c>
      <c r="V29" s="203">
        <f>IFERROR(IF(PRDates[[#This Row],[MON]]=INDEX($M$9:$M$25,MATCH(PRDates[[#This Row],[MON]],$M$9:$M$25,0)),PRDates[[#This Row],[MON]]+1,PRDates[[#This Row],[MON]]),PRDates[[#This Row],[MON]])</f>
        <v>45614</v>
      </c>
      <c r="W29" s="190">
        <f t="shared" si="13"/>
        <v>45614</v>
      </c>
      <c r="X29" s="191">
        <f t="shared" si="14"/>
        <v>7</v>
      </c>
      <c r="Y29" s="192">
        <f>IFERROR(IF(PRDates[[#This Row],[MON]]=INDEX($M$9:$M$25,MATCH(PRDates[[#This Row],[MON]],$M$9:$M$25,0)),PRDates[[#This Row],[MON]]+1,PRDates[[#This Row],[MON]]),PRDates[[#This Row],[MON]])</f>
        <v>45614</v>
      </c>
      <c r="Z29" s="175">
        <f t="shared" si="15"/>
        <v>45614</v>
      </c>
      <c r="AA29" s="176">
        <f t="shared" si="16"/>
        <v>7</v>
      </c>
      <c r="AB29" s="177">
        <f>IFERROR(IF(PRDates[[#This Row],[MON]]=INDEX($M$9:$M$25,MATCH(PRDates[[#This Row],[MON]],$M$9:$M$25,0)),PRDates[[#This Row],[MON]]+1,PRDates[[#This Row],[MON]]),PRDates[[#This Row],[MON]])</f>
        <v>45614</v>
      </c>
      <c r="AC29" s="160">
        <f t="shared" si="17"/>
        <v>45614</v>
      </c>
      <c r="AD29" s="161">
        <f t="shared" si="18"/>
        <v>7</v>
      </c>
      <c r="AE29" s="162">
        <f>IFERROR(IF(PRDates[[#This Row],[MON]]=INDEX($M$9:$M$25,MATCH(PRDates[[#This Row],[MON]],$M$9:$M$25,0)),PRDates[[#This Row],[MON]]+1,PRDates[[#This Row],[MON]]),PRDates[[#This Row],[MON]])</f>
        <v>45614</v>
      </c>
      <c r="AF29" s="112">
        <v>21</v>
      </c>
      <c r="AG29" s="1"/>
      <c r="AH29" s="1"/>
    </row>
    <row r="30" spans="1:34" x14ac:dyDescent="0.2">
      <c r="A30" s="42">
        <v>0.31944444444444398</v>
      </c>
      <c r="B30" s="24"/>
      <c r="C30" s="6"/>
      <c r="D30" s="3"/>
      <c r="E30" s="3"/>
      <c r="F30" s="3"/>
      <c r="G30" s="3"/>
      <c r="H30" s="3"/>
      <c r="I30" s="3"/>
      <c r="J30" s="3"/>
      <c r="L30" s="103">
        <v>4</v>
      </c>
      <c r="M3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45527</v>
      </c>
      <c r="N30" s="20" t="str">
        <f t="array" ref="N30">IFERROR(IF($N$2=$K$2,INDEX($Q:$Q,MATCH(M30,$S:$S,0)),IF($N$2=$K$3,INDEX(Q:Q,MATCH(M30,V:V,0)),IF($N$2=$K$4,INDEX(Q:Q,MATCH(M30,Y:Y,0)),IF($N$2=$K$5,INDEX(Q:Q,MATCH(M30,AB:AB,0)),IF($N$2=$K$6,INDEX(Q:Q,MATCH(M30,AE:AE,0))))))),"")</f>
        <v>Payday</v>
      </c>
      <c r="O30" s="3"/>
      <c r="Q30" s="15" t="s">
        <v>61</v>
      </c>
      <c r="R30" s="213">
        <f>PRDates[[#This Row],[C1]]</f>
        <v>45636</v>
      </c>
      <c r="S30" s="214">
        <f>IF(WEEKDAY(DATE(YEAR(Worksheet!S16),MONTH(Worksheet!S16),DAY(10)))=7,DATE(YEAR(Worksheet!S16),MONTH(Worksheet!S16),DAY(10)-1),IF(WEEKDAY(DATE(YEAR(Worksheet!S16),MONTH(Worksheet!S16),DAY(10)))=1,DATE(YEAR(Worksheet!S16),MONTH(Worksheet!S16),DAY(10)-2),IF(DATE(YEAR(S16),MONTH(S16),DAY(14))=WEEKDAY(DATE(YEAR(S16),MONTH(S16),DAY(14))),WEEKDAY(DATE(YEAR(S16),MONTH(S16),DAY(14-4))),DATE(YEAR(Worksheet!S16),MONTH(Worksheet!S16),DAY(10)))))</f>
        <v>45636</v>
      </c>
      <c r="T30" s="202">
        <f t="shared" si="11"/>
        <v>45642</v>
      </c>
      <c r="U30" s="202">
        <f t="shared" si="12"/>
        <v>3</v>
      </c>
      <c r="V30" s="203">
        <f>IFERROR(IF(PRDates[[#This Row],[MON]]=INDEX($M$9:$M$25,MATCH(PRDates[[#This Row],[MON]],$M$9:$M$25,0)),PRDates[[#This Row],[MON]]+1,PRDates[[#This Row],[MON]]),PRDates[[#This Row],[MON]])</f>
        <v>45642</v>
      </c>
      <c r="W30" s="190">
        <f t="shared" si="13"/>
        <v>45642</v>
      </c>
      <c r="X30" s="191">
        <f t="shared" si="14"/>
        <v>8</v>
      </c>
      <c r="Y30" s="192">
        <f>IFERROR(IF(PRDates[[#This Row],[MON]]=INDEX($M$9:$M$25,MATCH(PRDates[[#This Row],[MON]],$M$9:$M$25,0)),PRDates[[#This Row],[MON]]+1,PRDates[[#This Row],[MON]]),PRDates[[#This Row],[MON]])</f>
        <v>45642</v>
      </c>
      <c r="Z30" s="175">
        <f t="shared" si="15"/>
        <v>45642</v>
      </c>
      <c r="AA30" s="176">
        <f t="shared" si="16"/>
        <v>8</v>
      </c>
      <c r="AB30" s="177">
        <f>IFERROR(IF(PRDates[[#This Row],[MON]]=INDEX($M$9:$M$25,MATCH(PRDates[[#This Row],[MON]],$M$9:$M$25,0)),PRDates[[#This Row],[MON]]+1,PRDates[[#This Row],[MON]]),PRDates[[#This Row],[MON]])</f>
        <v>45642</v>
      </c>
      <c r="AC30" s="160">
        <f t="shared" si="17"/>
        <v>45642</v>
      </c>
      <c r="AD30" s="161">
        <f t="shared" si="18"/>
        <v>8</v>
      </c>
      <c r="AE30" s="162">
        <f>IFERROR(IF(PRDates[[#This Row],[MON]]=INDEX($M$9:$M$25,MATCH(PRDates[[#This Row],[MON]],$M$9:$M$25,0)),PRDates[[#This Row],[MON]]+1,PRDates[[#This Row],[MON]]),PRDates[[#This Row],[MON]])</f>
        <v>45642</v>
      </c>
      <c r="AF30" s="112">
        <v>22</v>
      </c>
      <c r="AG30" s="1"/>
      <c r="AH30" s="1"/>
    </row>
    <row r="31" spans="1:34" x14ac:dyDescent="0.2">
      <c r="A31" s="42">
        <v>0.32291666666666602</v>
      </c>
      <c r="B31" s="3"/>
      <c r="D31" s="3"/>
      <c r="E31" s="3"/>
      <c r="F31" s="3"/>
      <c r="G31" s="3"/>
      <c r="H31" s="3"/>
      <c r="I31" s="3"/>
      <c r="J31" s="3"/>
      <c r="L31" s="103">
        <v>5</v>
      </c>
      <c r="M3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45560</v>
      </c>
      <c r="N31" s="20" t="str">
        <f t="array" ref="N31">IFERROR(IF($N$2=$K$2,INDEX($Q:$Q,MATCH(M31,$S:$S,0)),IF($N$2=$K$3,INDEX(Q:Q,MATCH(M31,V:V,0)),IF($N$2=$K$4,INDEX(Q:Q,MATCH(M31,Y:Y,0)),IF($N$2=$K$5,INDEX(Q:Q,MATCH(M31,AB:AB,0)),IF($N$2=$K$6,INDEX(Q:Q,MATCH(M31,AE:AE,0))))))),"")</f>
        <v>Payday</v>
      </c>
      <c r="O31" s="3"/>
      <c r="Q31" s="15" t="s">
        <v>61</v>
      </c>
      <c r="R31" s="213">
        <f>PRDates[[#This Row],[C1]]</f>
        <v>45667</v>
      </c>
      <c r="S31" s="214">
        <f>IF(WEEKDAY(DATE(YEAR(Worksheet!S17),MONTH(Worksheet!S17),DAY(10)))=7,DATE(YEAR(Worksheet!S17),MONTH(Worksheet!S17),DAY(10)-1),IF(WEEKDAY(DATE(YEAR(Worksheet!S17),MONTH(Worksheet!S17),DAY(10)))=1,DATE(YEAR(Worksheet!S17),MONTH(Worksheet!S17),DAY(10)-2),IF(DATE(YEAR(S17),MONTH(S17),DAY(14))=WEEKDAY(DATE(YEAR(S17),MONTH(S17),DAY(14))),WEEKDAY(DATE(YEAR(S17),MONTH(S17),DAY(14-4))),DATE(YEAR(Worksheet!S17),MONTH(Worksheet!S17),DAY(10)))))</f>
        <v>45667</v>
      </c>
      <c r="T31" s="202">
        <f t="shared" si="11"/>
        <v>45673</v>
      </c>
      <c r="U31" s="202">
        <f t="shared" si="12"/>
        <v>7</v>
      </c>
      <c r="V31" s="203">
        <f>IFERROR(IF(PRDates[[#This Row],[MON]]=INDEX($M$9:$M$25,MATCH(PRDates[[#This Row],[MON]],$M$9:$M$25,0)),PRDates[[#This Row],[MON]]+1,PRDates[[#This Row],[MON]]),PRDates[[#This Row],[MON]])</f>
        <v>45673</v>
      </c>
      <c r="W31" s="190">
        <f t="shared" si="13"/>
        <v>45673</v>
      </c>
      <c r="X31" s="191">
        <f t="shared" si="14"/>
        <v>8</v>
      </c>
      <c r="Y31" s="192">
        <f>IFERROR(IF(PRDates[[#This Row],[MON]]=INDEX($M$9:$M$25,MATCH(PRDates[[#This Row],[MON]],$M$9:$M$25,0)),PRDates[[#This Row],[MON]]+1,PRDates[[#This Row],[MON]]),PRDates[[#This Row],[MON]])</f>
        <v>45673</v>
      </c>
      <c r="Z31" s="175">
        <f t="shared" si="15"/>
        <v>45673</v>
      </c>
      <c r="AA31" s="176">
        <f t="shared" si="16"/>
        <v>8</v>
      </c>
      <c r="AB31" s="177">
        <f>IFERROR(IF(PRDates[[#This Row],[MON]]=INDEX($M$9:$M$25,MATCH(PRDates[[#This Row],[MON]],$M$9:$M$25,0)),PRDates[[#This Row],[MON]]+1,PRDates[[#This Row],[MON]]),PRDates[[#This Row],[MON]])</f>
        <v>45673</v>
      </c>
      <c r="AC31" s="160">
        <f t="shared" si="17"/>
        <v>45673</v>
      </c>
      <c r="AD31" s="161">
        <f t="shared" si="18"/>
        <v>8</v>
      </c>
      <c r="AE31" s="162">
        <f>IFERROR(IF(PRDates[[#This Row],[MON]]=INDEX($M$9:$M$25,MATCH(PRDates[[#This Row],[MON]],$M$9:$M$25,0)),PRDates[[#This Row],[MON]]+1,PRDates[[#This Row],[MON]]),PRDates[[#This Row],[MON]])</f>
        <v>45673</v>
      </c>
      <c r="AF31" s="112">
        <v>23</v>
      </c>
      <c r="AG31" s="1"/>
      <c r="AH31" s="1"/>
    </row>
    <row r="32" spans="1:34" x14ac:dyDescent="0.2">
      <c r="A32" s="42">
        <v>0.32638888888888901</v>
      </c>
      <c r="B32" s="3"/>
      <c r="D32" s="3"/>
      <c r="E32" s="3"/>
      <c r="F32" s="3"/>
      <c r="G32" s="3"/>
      <c r="H32" s="3"/>
      <c r="I32" s="3"/>
      <c r="J32" s="3"/>
      <c r="L32" s="103">
        <v>6</v>
      </c>
      <c r="M3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45590</v>
      </c>
      <c r="N32" s="20" t="str">
        <f t="array" ref="N32">IFERROR(IF($N$2=$K$2,INDEX($Q:$Q,MATCH(M32,$S:$S,0)),IF($N$2=$K$3,INDEX(Q:Q,MATCH(M32,V:V,0)),IF($N$2=$K$4,INDEX(Q:Q,MATCH(M32,Y:Y,0)),IF($N$2=$K$5,INDEX(Q:Q,MATCH(M32,AB:AB,0)),IF($N$2=$K$6,INDEX(Q:Q,MATCH(M32,AE:AE,0))))))),"")</f>
        <v>Payday</v>
      </c>
      <c r="O32" s="3"/>
      <c r="Q32" s="15" t="s">
        <v>61</v>
      </c>
      <c r="R32" s="213">
        <f>PRDates[[#This Row],[C1]]</f>
        <v>45698</v>
      </c>
      <c r="S32" s="214">
        <f>IF(WEEKDAY(DATE(YEAR(Worksheet!S18),MONTH(Worksheet!S18),DAY(10)))=7,DATE(YEAR(Worksheet!S18),MONTH(Worksheet!S18),DAY(10)-1),IF(WEEKDAY(DATE(YEAR(Worksheet!S18),MONTH(Worksheet!S18),DAY(10)))=1,DATE(YEAR(Worksheet!S18),MONTH(Worksheet!S18),DAY(10)-2),IF(DATE(YEAR(S18),MONTH(S18),DAY(14))=WEEKDAY(DATE(YEAR(S18),MONTH(S18),DAY(14))),WEEKDAY(DATE(YEAR(S18),MONTH(S18),DAY(14-4))),DATE(YEAR(Worksheet!S18),MONTH(Worksheet!S18),DAY(10)))))</f>
        <v>45698</v>
      </c>
      <c r="T32" s="202">
        <f t="shared" si="11"/>
        <v>45705</v>
      </c>
      <c r="U32" s="202">
        <f t="shared" si="12"/>
        <v>7</v>
      </c>
      <c r="V32" s="203">
        <f>IFERROR(IF(PRDates[[#This Row],[MON]]=INDEX($M$9:$M$25,MATCH(PRDates[[#This Row],[MON]],$M$9:$M$25,0)),PRDates[[#This Row],[MON]]+1,PRDates[[#This Row],[MON]]),PRDates[[#This Row],[MON]])</f>
        <v>45706</v>
      </c>
      <c r="W32" s="190">
        <f t="shared" si="13"/>
        <v>45705</v>
      </c>
      <c r="X32" s="191">
        <f t="shared" si="14"/>
        <v>7</v>
      </c>
      <c r="Y32" s="192">
        <f>IFERROR(IF(PRDates[[#This Row],[MON]]=INDEX($M$9:$M$25,MATCH(PRDates[[#This Row],[MON]],$M$9:$M$25,0)),PRDates[[#This Row],[MON]]+1,PRDates[[#This Row],[MON]]),PRDates[[#This Row],[MON]])</f>
        <v>45706</v>
      </c>
      <c r="Z32" s="175">
        <f t="shared" si="15"/>
        <v>45705</v>
      </c>
      <c r="AA32" s="176">
        <f t="shared" si="16"/>
        <v>7</v>
      </c>
      <c r="AB32" s="177">
        <f>IFERROR(IF(PRDates[[#This Row],[MON]]=INDEX($M$9:$M$25,MATCH(PRDates[[#This Row],[MON]],$M$9:$M$25,0)),PRDates[[#This Row],[MON]]+1,PRDates[[#This Row],[MON]]),PRDates[[#This Row],[MON]])</f>
        <v>45706</v>
      </c>
      <c r="AC32" s="160">
        <f t="shared" si="17"/>
        <v>45705</v>
      </c>
      <c r="AD32" s="161">
        <f t="shared" si="18"/>
        <v>7</v>
      </c>
      <c r="AE32" s="162">
        <f>IFERROR(IF(PRDates[[#This Row],[MON]]=INDEX($M$9:$M$25,MATCH(PRDates[[#This Row],[MON]],$M$9:$M$25,0)),PRDates[[#This Row],[MON]]+1,PRDates[[#This Row],[MON]]),PRDates[[#This Row],[MON]])</f>
        <v>45706</v>
      </c>
      <c r="AF32" s="112">
        <v>24</v>
      </c>
      <c r="AG32" s="1"/>
      <c r="AH32" s="1"/>
    </row>
    <row r="33" spans="1:34" x14ac:dyDescent="0.2">
      <c r="A33" s="42">
        <v>0.32986111111111099</v>
      </c>
      <c r="B33" s="3"/>
      <c r="D33" s="3"/>
      <c r="E33" s="3"/>
      <c r="F33" s="3"/>
      <c r="G33" s="3"/>
      <c r="H33" s="3"/>
      <c r="I33" s="3"/>
      <c r="J33" s="3"/>
      <c r="L33" s="103">
        <v>7</v>
      </c>
      <c r="M3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45621</v>
      </c>
      <c r="N33" s="20" t="str">
        <f t="array" ref="N33">IFERROR(IF($N$2=$K$2,INDEX($Q:$Q,MATCH(M33,$S:$S,0)),IF($N$2=$K$3,INDEX(Q:Q,MATCH(M33,V:V,0)),IF($N$2=$K$4,INDEX(Q:Q,MATCH(M33,Y:Y,0)),IF($N$2=$K$5,INDEX(Q:Q,MATCH(M33,AB:AB,0)),IF($N$2=$K$6,INDEX(Q:Q,MATCH(M33,AE:AE,0))))))),"")</f>
        <v>Payday</v>
      </c>
      <c r="O33" s="3"/>
      <c r="Q33" s="15" t="s">
        <v>61</v>
      </c>
      <c r="R33" s="213">
        <f>PRDates[[#This Row],[C1]]</f>
        <v>45726</v>
      </c>
      <c r="S33" s="214">
        <f>IF(WEEKDAY(DATE(YEAR(Worksheet!S19),MONTH(Worksheet!S19),DAY(10)))=7,DATE(YEAR(Worksheet!S19),MONTH(Worksheet!S19),DAY(10)-1),IF(WEEKDAY(DATE(YEAR(Worksheet!S19),MONTH(Worksheet!S19),DAY(10)))=1,DATE(YEAR(Worksheet!S19),MONTH(Worksheet!S19),DAY(10)-2),IF(DATE(YEAR(S19),MONTH(S19),DAY(14))=WEEKDAY(DATE(YEAR(S19),MONTH(S19),DAY(14))),WEEKDAY(DATE(YEAR(S19),MONTH(S19),DAY(14-4))),DATE(YEAR(Worksheet!S19),MONTH(Worksheet!S19),DAY(10)))))</f>
        <v>45726</v>
      </c>
      <c r="T33" s="202">
        <f t="shared" si="11"/>
        <v>45733</v>
      </c>
      <c r="U33" s="202">
        <f t="shared" si="12"/>
        <v>8</v>
      </c>
      <c r="V33" s="203">
        <f>IFERROR(IF(PRDates[[#This Row],[MON]]=INDEX($M$9:$M$25,MATCH(PRDates[[#This Row],[MON]],$M$9:$M$25,0)),PRDates[[#This Row],[MON]]+1,PRDates[[#This Row],[MON]]),PRDates[[#This Row],[MON]])</f>
        <v>45733</v>
      </c>
      <c r="W33" s="190">
        <f t="shared" si="13"/>
        <v>45733</v>
      </c>
      <c r="X33" s="191">
        <f t="shared" si="14"/>
        <v>8</v>
      </c>
      <c r="Y33" s="192">
        <f>IFERROR(IF(PRDates[[#This Row],[MON]]=INDEX($M$9:$M$25,MATCH(PRDates[[#This Row],[MON]],$M$9:$M$25,0)),PRDates[[#This Row],[MON]]+1,PRDates[[#This Row],[MON]]),PRDates[[#This Row],[MON]])</f>
        <v>45733</v>
      </c>
      <c r="Z33" s="175">
        <f t="shared" si="15"/>
        <v>45733</v>
      </c>
      <c r="AA33" s="176">
        <f t="shared" si="16"/>
        <v>8</v>
      </c>
      <c r="AB33" s="177">
        <f>IFERROR(IF(PRDates[[#This Row],[MON]]=INDEX($M$9:$M$25,MATCH(PRDates[[#This Row],[MON]],$M$9:$M$25,0)),PRDates[[#This Row],[MON]]+1,PRDates[[#This Row],[MON]]),PRDates[[#This Row],[MON]])</f>
        <v>45733</v>
      </c>
      <c r="AC33" s="160">
        <f t="shared" si="17"/>
        <v>45733</v>
      </c>
      <c r="AD33" s="161">
        <f t="shared" si="18"/>
        <v>8</v>
      </c>
      <c r="AE33" s="162">
        <f>IFERROR(IF(PRDates[[#This Row],[MON]]=INDEX($M$9:$M$25,MATCH(PRDates[[#This Row],[MON]],$M$9:$M$25,0)),PRDates[[#This Row],[MON]]+1,PRDates[[#This Row],[MON]]),PRDates[[#This Row],[MON]])</f>
        <v>45733</v>
      </c>
      <c r="AF33" s="112">
        <v>25</v>
      </c>
      <c r="AG33" s="1"/>
      <c r="AH33" s="1"/>
    </row>
    <row r="34" spans="1:34" x14ac:dyDescent="0.2">
      <c r="A34" s="42">
        <v>0.33333333333333298</v>
      </c>
      <c r="B34" s="3"/>
      <c r="D34" s="3"/>
      <c r="E34" s="3"/>
      <c r="F34" s="3"/>
      <c r="G34" s="3"/>
      <c r="H34" s="3"/>
      <c r="I34" s="3"/>
      <c r="J34" s="3"/>
      <c r="L34" s="103">
        <v>8</v>
      </c>
      <c r="M3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45650</v>
      </c>
      <c r="N34" s="20" t="str">
        <f t="array" ref="N34">IFERROR(IF($N$2=$K$2,INDEX($Q:$Q,MATCH(M34,$S:$S,0)),IF($N$2=$K$3,INDEX(Q:Q,MATCH(M34,V:V,0)),IF($N$2=$K$4,INDEX(Q:Q,MATCH(M34,Y:Y,0)),IF($N$2=$K$5,INDEX(Q:Q,MATCH(M34,AB:AB,0)),IF($N$2=$K$6,INDEX(Q:Q,MATCH(M34,AE:AE,0))))))),"")</f>
        <v>Payday</v>
      </c>
      <c r="O34" s="3"/>
      <c r="Q34" s="15" t="s">
        <v>61</v>
      </c>
      <c r="R34" s="213">
        <f>PRDates[[#This Row],[C1]]</f>
        <v>45757</v>
      </c>
      <c r="S34" s="214">
        <f>IF(WEEKDAY(DATE(YEAR(Worksheet!S20),MONTH(Worksheet!S20),DAY(10)))=7,DATE(YEAR(Worksheet!S20),MONTH(Worksheet!S20),DAY(10)-1),IF(WEEKDAY(DATE(YEAR(Worksheet!S20),MONTH(Worksheet!S20),DAY(10)))=1,DATE(YEAR(Worksheet!S20),MONTH(Worksheet!S20),DAY(10)-2),IF(DATE(YEAR(S20),MONTH(S20),DAY(14))=WEEKDAY(DATE(YEAR(S20),MONTH(S20),DAY(14))),WEEKDAY(DATE(YEAR(S20),MONTH(S20),DAY(14-4))),DATE(YEAR(Worksheet!S20),MONTH(Worksheet!S20),DAY(10)))))</f>
        <v>45757</v>
      </c>
      <c r="T34" s="202">
        <f t="shared" si="11"/>
        <v>45763</v>
      </c>
      <c r="U34" s="202">
        <f t="shared" si="12"/>
        <v>8</v>
      </c>
      <c r="V34" s="203">
        <f>IFERROR(IF(PRDates[[#This Row],[MON]]=INDEX($M$9:$M$25,MATCH(PRDates[[#This Row],[MON]],$M$9:$M$25,0)),PRDates[[#This Row],[MON]]+1,PRDates[[#This Row],[MON]]),PRDates[[#This Row],[MON]])</f>
        <v>45763</v>
      </c>
      <c r="W34" s="190">
        <f t="shared" si="13"/>
        <v>45763</v>
      </c>
      <c r="X34" s="191">
        <f t="shared" si="14"/>
        <v>9</v>
      </c>
      <c r="Y34" s="192">
        <f>IFERROR(IF(PRDates[[#This Row],[MON]]=INDEX($M$9:$M$25,MATCH(PRDates[[#This Row],[MON]],$M$9:$M$25,0)),PRDates[[#This Row],[MON]]+1,PRDates[[#This Row],[MON]]),PRDates[[#This Row],[MON]])</f>
        <v>45763</v>
      </c>
      <c r="Z34" s="175">
        <f t="shared" si="15"/>
        <v>45763</v>
      </c>
      <c r="AA34" s="176">
        <f t="shared" si="16"/>
        <v>9</v>
      </c>
      <c r="AB34" s="177">
        <f>IFERROR(IF(PRDates[[#This Row],[MON]]=INDEX($M$9:$M$25,MATCH(PRDates[[#This Row],[MON]],$M$9:$M$25,0)),PRDates[[#This Row],[MON]]+1,PRDates[[#This Row],[MON]]),PRDates[[#This Row],[MON]])</f>
        <v>45763</v>
      </c>
      <c r="AC34" s="160">
        <f t="shared" si="17"/>
        <v>45763</v>
      </c>
      <c r="AD34" s="161">
        <f t="shared" si="18"/>
        <v>9</v>
      </c>
      <c r="AE34" s="162">
        <f>IFERROR(IF(PRDates[[#This Row],[MON]]=INDEX($M$9:$M$25,MATCH(PRDates[[#This Row],[MON]],$M$9:$M$25,0)),PRDates[[#This Row],[MON]]+1,PRDates[[#This Row],[MON]]),PRDates[[#This Row],[MON]])</f>
        <v>45763</v>
      </c>
      <c r="AF34" s="112">
        <v>26</v>
      </c>
      <c r="AG34" s="1"/>
      <c r="AH34" s="1"/>
    </row>
    <row r="35" spans="1:34" x14ac:dyDescent="0.2">
      <c r="A35" s="42">
        <v>0.33680555555555503</v>
      </c>
      <c r="B35" s="3"/>
      <c r="D35" s="3"/>
      <c r="E35" s="3"/>
      <c r="F35" s="3"/>
      <c r="G35" s="3"/>
      <c r="H35" s="3"/>
      <c r="I35" s="3"/>
      <c r="J35" s="3"/>
      <c r="L35" s="103">
        <v>9</v>
      </c>
      <c r="M3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45681</v>
      </c>
      <c r="N35" s="20" t="str">
        <f t="array" ref="N35">IFERROR(IF($N$2=$K$2,INDEX($Q:$Q,MATCH(M35,$S:$S,0)),IF($N$2=$K$3,INDEX(Q:Q,MATCH(M35,V:V,0)),IF($N$2=$K$4,INDEX(Q:Q,MATCH(M35,Y:Y,0)),IF($N$2=$K$5,INDEX(Q:Q,MATCH(M35,AB:AB,0)),IF($N$2=$K$6,INDEX(Q:Q,MATCH(M35,AE:AE,0))))))),"")</f>
        <v>Payday</v>
      </c>
      <c r="O35" s="3"/>
      <c r="Q35" s="15" t="s">
        <v>61</v>
      </c>
      <c r="R35" s="213">
        <f>PRDates[[#This Row],[C1]]</f>
        <v>45786</v>
      </c>
      <c r="S35" s="214">
        <f>IF(WEEKDAY(DATE(YEAR(Worksheet!S21),MONTH(Worksheet!S21),DAY(10)))=7,DATE(YEAR(Worksheet!S21),MONTH(Worksheet!S21),DAY(10)-1),IF(WEEKDAY(DATE(YEAR(Worksheet!S21),MONTH(Worksheet!S21),DAY(10)))=1,DATE(YEAR(Worksheet!S21),MONTH(Worksheet!S21),DAY(10)-2),IF(DATE(YEAR(S21),MONTH(S21),DAY(14))=WEEKDAY(DATE(YEAR(S21),MONTH(S21),DAY(14))),WEEKDAY(DATE(YEAR(S21),MONTH(S21),DAY(14-4))),DATE(YEAR(Worksheet!S21),MONTH(Worksheet!S21),DAY(10)))))</f>
        <v>45786</v>
      </c>
      <c r="T35" s="202">
        <f t="shared" si="11"/>
        <v>45793</v>
      </c>
      <c r="U35" s="202">
        <f t="shared" si="12"/>
        <v>6</v>
      </c>
      <c r="V35" s="203">
        <f>IFERROR(IF(PRDates[[#This Row],[MON]]=INDEX($M$9:$M$25,MATCH(PRDates[[#This Row],[MON]],$M$9:$M$25,0)),PRDates[[#This Row],[MON]]+1,PRDates[[#This Row],[MON]]),PRDates[[#This Row],[MON]])</f>
        <v>45793</v>
      </c>
      <c r="W35" s="190">
        <f t="shared" si="13"/>
        <v>45793</v>
      </c>
      <c r="X35" s="191">
        <f t="shared" si="14"/>
        <v>7</v>
      </c>
      <c r="Y35" s="192">
        <f>IFERROR(IF(PRDates[[#This Row],[MON]]=INDEX($M$9:$M$25,MATCH(PRDates[[#This Row],[MON]],$M$9:$M$25,0)),PRDates[[#This Row],[MON]]+1,PRDates[[#This Row],[MON]]),PRDates[[#This Row],[MON]])</f>
        <v>45793</v>
      </c>
      <c r="Z35" s="175">
        <f t="shared" si="15"/>
        <v>45793</v>
      </c>
      <c r="AA35" s="176">
        <f t="shared" si="16"/>
        <v>7</v>
      </c>
      <c r="AB35" s="177">
        <f>IFERROR(IF(PRDates[[#This Row],[MON]]=INDEX($M$9:$M$25,MATCH(PRDates[[#This Row],[MON]],$M$9:$M$25,0)),PRDates[[#This Row],[MON]]+1,PRDates[[#This Row],[MON]]),PRDates[[#This Row],[MON]])</f>
        <v>45793</v>
      </c>
      <c r="AC35" s="160">
        <f t="shared" si="17"/>
        <v>45793</v>
      </c>
      <c r="AD35" s="161">
        <f t="shared" si="18"/>
        <v>7</v>
      </c>
      <c r="AE35" s="162">
        <f>IFERROR(IF(PRDates[[#This Row],[MON]]=INDEX($M$9:$M$25,MATCH(PRDates[[#This Row],[MON]],$M$9:$M$25,0)),PRDates[[#This Row],[MON]]+1,PRDates[[#This Row],[MON]]),PRDates[[#This Row],[MON]])</f>
        <v>45793</v>
      </c>
      <c r="AF35" s="112">
        <v>27</v>
      </c>
      <c r="AG35" s="1"/>
      <c r="AH35" s="1"/>
    </row>
    <row r="36" spans="1:34" x14ac:dyDescent="0.2">
      <c r="A36" s="42">
        <v>0.34027777777777801</v>
      </c>
      <c r="B36" s="3"/>
      <c r="D36" s="3"/>
      <c r="E36" s="3"/>
      <c r="F36" s="3"/>
      <c r="G36" s="3"/>
      <c r="H36" s="3"/>
      <c r="I36" s="3"/>
      <c r="J36" s="3"/>
      <c r="L36" s="103">
        <v>10</v>
      </c>
      <c r="M3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45713</v>
      </c>
      <c r="N36" s="20" t="str">
        <f t="array" ref="N36">IFERROR(IF($N$2=$K$2,INDEX($Q:$Q,MATCH(M36,$S:$S,0)),IF($N$2=$K$3,INDEX(Q:Q,MATCH(M36,V:V,0)),IF($N$2=$K$4,INDEX(Q:Q,MATCH(M36,Y:Y,0)),IF($N$2=$K$5,INDEX(Q:Q,MATCH(M36,AB:AB,0)),IF($N$2=$K$6,INDEX(Q:Q,MATCH(M36,AE:AE,0))))))),"")</f>
        <v>Payday</v>
      </c>
      <c r="O36" s="3"/>
      <c r="Q36" s="15" t="s">
        <v>61</v>
      </c>
      <c r="R36" s="213">
        <f>PRDates[[#This Row],[C1]]</f>
        <v>45818</v>
      </c>
      <c r="S36" s="214">
        <f>IF(WEEKDAY(DATE(YEAR(Worksheet!S22),MONTH(Worksheet!S22),DAY(10)))=7,DATE(YEAR(Worksheet!S22),MONTH(Worksheet!S22),DAY(10)-1),IF(WEEKDAY(DATE(YEAR(Worksheet!S22),MONTH(Worksheet!S22),DAY(10)))=1,DATE(YEAR(Worksheet!S22),MONTH(Worksheet!S22),DAY(10)-2),IF(DATE(YEAR(S22),MONTH(S22),DAY(14))=WEEKDAY(DATE(YEAR(S22),MONTH(S22),DAY(14))),WEEKDAY(DATE(YEAR(S22),MONTH(S22),DAY(14-4))),DATE(YEAR(Worksheet!S22),MONTH(Worksheet!S22),DAY(10)))))</f>
        <v>45818</v>
      </c>
      <c r="T36" s="202">
        <f t="shared" si="11"/>
        <v>45824</v>
      </c>
      <c r="U36" s="202">
        <f t="shared" si="12"/>
        <v>9</v>
      </c>
      <c r="V36" s="203">
        <f>IFERROR(IF(PRDates[[#This Row],[MON]]=INDEX($M$9:$M$25,MATCH(PRDates[[#This Row],[MON]],$M$9:$M$25,0)),PRDates[[#This Row],[MON]]+1,PRDates[[#This Row],[MON]]),PRDates[[#This Row],[MON]])</f>
        <v>45824</v>
      </c>
      <c r="W36" s="190">
        <f t="shared" si="13"/>
        <v>45824</v>
      </c>
      <c r="X36" s="191">
        <f t="shared" si="14"/>
        <v>9</v>
      </c>
      <c r="Y36" s="192">
        <f>IFERROR(IF(PRDates[[#This Row],[MON]]=INDEX($M$9:$M$25,MATCH(PRDates[[#This Row],[MON]],$M$9:$M$25,0)),PRDates[[#This Row],[MON]]+1,PRDates[[#This Row],[MON]]),PRDates[[#This Row],[MON]])</f>
        <v>45824</v>
      </c>
      <c r="Z36" s="175">
        <f t="shared" si="15"/>
        <v>45824</v>
      </c>
      <c r="AA36" s="176">
        <f t="shared" si="16"/>
        <v>9</v>
      </c>
      <c r="AB36" s="177">
        <f>IFERROR(IF(PRDates[[#This Row],[MON]]=INDEX($M$9:$M$25,MATCH(PRDates[[#This Row],[MON]],$M$9:$M$25,0)),PRDates[[#This Row],[MON]]+1,PRDates[[#This Row],[MON]]),PRDates[[#This Row],[MON]])</f>
        <v>45824</v>
      </c>
      <c r="AC36" s="160">
        <f t="shared" si="17"/>
        <v>45824</v>
      </c>
      <c r="AD36" s="161">
        <f t="shared" si="18"/>
        <v>9</v>
      </c>
      <c r="AE36" s="162">
        <f>IFERROR(IF(PRDates[[#This Row],[MON]]=INDEX($M$9:$M$25,MATCH(PRDates[[#This Row],[MON]],$M$9:$M$25,0)),PRDates[[#This Row],[MON]]+1,PRDates[[#This Row],[MON]]),PRDates[[#This Row],[MON]])</f>
        <v>45824</v>
      </c>
      <c r="AF36" s="112">
        <v>28</v>
      </c>
      <c r="AG36" s="1"/>
      <c r="AH36" s="1"/>
    </row>
    <row r="37" spans="1:34" x14ac:dyDescent="0.2">
      <c r="A37" s="42">
        <v>0.34375</v>
      </c>
      <c r="B37" s="3"/>
      <c r="D37" s="3"/>
      <c r="E37" s="3"/>
      <c r="F37" s="3"/>
      <c r="G37" s="3"/>
      <c r="H37" s="3"/>
      <c r="I37" s="3"/>
      <c r="J37" s="3"/>
      <c r="L37" s="103">
        <v>11</v>
      </c>
      <c r="M3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45741</v>
      </c>
      <c r="N37" s="20" t="str">
        <f t="array" ref="N37">IFERROR(IF($N$2=$K$2,INDEX($Q:$Q,MATCH(M37,$S:$S,0)),IF($N$2=$K$3,INDEX(Q:Q,MATCH(M37,V:V,0)),IF($N$2=$K$4,INDEX(Q:Q,MATCH(M37,Y:Y,0)),IF($N$2=$K$5,INDEX(Q:Q,MATCH(M37,AB:AB,0)),IF($N$2=$K$6,INDEX(Q:Q,MATCH(M37,AE:AE,0))))))),"")</f>
        <v>Payday</v>
      </c>
      <c r="O37" s="3"/>
      <c r="Q37" s="15"/>
      <c r="R37" s="213"/>
      <c r="S37" s="214"/>
      <c r="T37" s="202"/>
      <c r="U37" s="202"/>
      <c r="V37" s="203" t="str">
        <f t="shared" ref="V37:V61" si="19">IF(T37="","",T37)</f>
        <v/>
      </c>
      <c r="W37" s="190"/>
      <c r="X37" s="188"/>
      <c r="Y37" s="189" t="str">
        <f t="shared" si="8"/>
        <v/>
      </c>
      <c r="Z37" s="175"/>
      <c r="AA37" s="173"/>
      <c r="AB37" s="174" t="str">
        <f t="shared" si="9"/>
        <v/>
      </c>
      <c r="AC37" s="159"/>
      <c r="AD37" s="158"/>
      <c r="AE37" s="158" t="str">
        <f t="shared" ref="AE37:AE74" si="20">IF(AC37="","",AC37)</f>
        <v/>
      </c>
      <c r="AF37" s="1">
        <v>29</v>
      </c>
      <c r="AG37" s="1"/>
      <c r="AH37" s="1"/>
    </row>
    <row r="38" spans="1:34" x14ac:dyDescent="0.2">
      <c r="A38" s="42">
        <v>0.34722222222222199</v>
      </c>
      <c r="B38" s="3"/>
      <c r="D38" s="3"/>
      <c r="E38" s="3"/>
      <c r="F38" s="3"/>
      <c r="G38" s="3"/>
      <c r="H38" s="3"/>
      <c r="I38" s="3"/>
      <c r="J38" s="3"/>
      <c r="L38" s="103">
        <v>12</v>
      </c>
      <c r="M3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45772</v>
      </c>
      <c r="N38" s="20" t="str">
        <f t="array" ref="N38">IFERROR(IF($N$2=$K$2,INDEX($Q:$Q,MATCH(M38,$S:$S,0)),IF($N$2=$K$3,INDEX(Q:Q,MATCH(M38,V:V,0)),IF($N$2=$K$4,INDEX(Q:Q,MATCH(M38,Y:Y,0)),IF($N$2=$K$5,INDEX(Q:Q,MATCH(M38,AB:AB,0)),IF($N$2=$K$6,INDEX(Q:Q,MATCH(M38,AE:AE,0))))))),"")</f>
        <v>Payday</v>
      </c>
      <c r="O38" s="3"/>
      <c r="Q38" s="110" t="str">
        <f>IF(AH38&lt;&gt;"","Christmas Break","")</f>
        <v>Christmas Break</v>
      </c>
      <c r="R38" s="215"/>
      <c r="S38" s="216"/>
      <c r="T38" s="204">
        <f>$G$9</f>
        <v>45646</v>
      </c>
      <c r="U38" s="204"/>
      <c r="V38" s="205">
        <f t="shared" ref="V38:V52" si="21">IFERROR(IF(T38=INDEX(V$10:V$36,MATCH(T38,V$10:V$36,0)),"",IF(T38="","",T38)),T38)</f>
        <v>45646</v>
      </c>
      <c r="W38" s="193">
        <f>$I$9</f>
        <v>45647</v>
      </c>
      <c r="X38" s="193"/>
      <c r="Y38" s="194">
        <f t="shared" ref="Y38:Y52" si="22">IFERROR(IF(W38=INDEX(Y$10:Y$36,MATCH(W38,Y$10:Y$36,0)),"",IF(W38="","",W38)),W38)</f>
        <v>45647</v>
      </c>
      <c r="Z38" s="178">
        <f>$J$9</f>
        <v>45646</v>
      </c>
      <c r="AA38" s="178"/>
      <c r="AB38" s="179">
        <f t="shared" ref="AB38:AB52" si="23">IFERROR(IF(Z38=INDEX(AB$10:AB$36,MATCH(Z38,AB$10:AB$36,0)),"",IF(Z38="","",Z38)),Z38)</f>
        <v>45646</v>
      </c>
      <c r="AC38" s="163">
        <f>$E$9</f>
        <v>45646</v>
      </c>
      <c r="AD38" s="163"/>
      <c r="AE38" s="164">
        <f t="shared" ref="AE38:AE52" si="24">IFERROR(IF(AC38=INDEX(AE$10:AE$36,MATCH(AC38,AE$10:AE$36,0)),"",IF(AC38="","",AC38)),AC38)</f>
        <v>45646</v>
      </c>
      <c r="AF38" s="111">
        <v>30</v>
      </c>
      <c r="AG38" s="1"/>
      <c r="AH38" s="1">
        <v>1</v>
      </c>
    </row>
    <row r="39" spans="1:34" x14ac:dyDescent="0.2">
      <c r="A39" s="42">
        <v>0.35069444444444398</v>
      </c>
      <c r="B39" s="3"/>
      <c r="L39" s="103">
        <v>13</v>
      </c>
      <c r="M3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45800</v>
      </c>
      <c r="N39" s="20" t="str">
        <f t="array" ref="N39">IFERROR(IF($N$2=$K$2,INDEX($Q:$Q,MATCH(M39,$S:$S,0)),IF($N$2=$K$3,INDEX(Q:Q,MATCH(M39,V:V,0)),IF($N$2=$K$4,INDEX(Q:Q,MATCH(M39,Y:Y,0)),IF($N$2=$K$5,INDEX(Q:Q,MATCH(M39,AB:AB,0)),IF($N$2=$K$6,INDEX(Q:Q,MATCH(M39,AE:AE,0))))))),"")</f>
        <v>Payday</v>
      </c>
      <c r="O39" s="3"/>
      <c r="Q39" s="110" t="str">
        <f t="shared" ref="Q39:Q53" si="25">IF(AH39&lt;&gt;"","Christmas Break","")</f>
        <v>Christmas Break</v>
      </c>
      <c r="R39" s="215"/>
      <c r="S39" s="216"/>
      <c r="T39" s="204">
        <f>IF(T38=$G$10,"",T38+1)</f>
        <v>45647</v>
      </c>
      <c r="U39" s="204"/>
      <c r="V39" s="205">
        <f t="shared" si="21"/>
        <v>45647</v>
      </c>
      <c r="W39" s="193">
        <f>IFERROR(IF(W38=$I$10,"",W38+1),"")</f>
        <v>45648</v>
      </c>
      <c r="X39" s="193"/>
      <c r="Y39" s="194">
        <f t="shared" si="22"/>
        <v>45648</v>
      </c>
      <c r="Z39" s="178">
        <f>IFERROR(IF(Z38=$J$10,"",Z38+1),"")</f>
        <v>45647</v>
      </c>
      <c r="AA39" s="178"/>
      <c r="AB39" s="179">
        <f t="shared" si="23"/>
        <v>45647</v>
      </c>
      <c r="AC39" s="163">
        <f>IFERROR(IF(AC38=$E$10,"",AC38+1),"")</f>
        <v>45647</v>
      </c>
      <c r="AD39" s="163"/>
      <c r="AE39" s="164">
        <f t="shared" si="24"/>
        <v>45647</v>
      </c>
      <c r="AF39" s="111">
        <v>31</v>
      </c>
      <c r="AG39" s="1"/>
      <c r="AH39" s="1">
        <f>IFERROR(IF(AH38=$D$17,"",AH38+1),"")</f>
        <v>2</v>
      </c>
    </row>
    <row r="40" spans="1:34" x14ac:dyDescent="0.2">
      <c r="A40" s="42">
        <v>0.35416666666666602</v>
      </c>
      <c r="B40" s="3"/>
      <c r="L40" s="103">
        <v>14</v>
      </c>
      <c r="M4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45833</v>
      </c>
      <c r="N40" s="20" t="str">
        <f t="array" ref="N40">IFERROR(IF($N$2=$K$2,INDEX($Q:$Q,MATCH(M40,$S:$S,0)),IF($N$2=$K$3,INDEX(Q:Q,MATCH(M40,V:V,0)),IF($N$2=$K$4,INDEX(Q:Q,MATCH(M40,Y:Y,0)),IF($N$2=$K$5,INDEX(Q:Q,MATCH(M40,AB:AB,0)),IF($N$2=$K$6,INDEX(Q:Q,MATCH(M40,AE:AE,0))))))),"")</f>
        <v>Payday</v>
      </c>
      <c r="O40" s="3"/>
      <c r="Q40" s="110" t="str">
        <f t="shared" si="25"/>
        <v>Christmas Break</v>
      </c>
      <c r="R40" s="215"/>
      <c r="S40" s="216"/>
      <c r="T40" s="204">
        <f t="shared" ref="T40:T53" si="26">IF(T39=$G$10,"",T39+1)</f>
        <v>45648</v>
      </c>
      <c r="U40" s="204"/>
      <c r="V40" s="205">
        <f t="shared" si="21"/>
        <v>45648</v>
      </c>
      <c r="W40" s="193">
        <f t="shared" ref="W40:W53" si="27">IFERROR(IF(W39=$I$10,"",W39+1),"")</f>
        <v>45649</v>
      </c>
      <c r="X40" s="193"/>
      <c r="Y40" s="194">
        <f t="shared" si="22"/>
        <v>45649</v>
      </c>
      <c r="Z40" s="178">
        <f t="shared" ref="Z40:Z53" si="28">IFERROR(IF(Z39=$J$10,"",Z39+1),"")</f>
        <v>45648</v>
      </c>
      <c r="AA40" s="178"/>
      <c r="AB40" s="179">
        <f t="shared" si="23"/>
        <v>45648</v>
      </c>
      <c r="AC40" s="163">
        <f t="shared" ref="AC40:AC52" si="29">IFERROR(IF(AC39=$E$10,"",AC39+1),"")</f>
        <v>45648</v>
      </c>
      <c r="AD40" s="163"/>
      <c r="AE40" s="164">
        <f t="shared" si="24"/>
        <v>45648</v>
      </c>
      <c r="AF40" s="111">
        <v>32</v>
      </c>
      <c r="AG40" s="1"/>
      <c r="AH40" s="1">
        <f t="shared" ref="AH40:AH53" si="30">IFERROR(IF(AH39=$D$17,"",AH39+1),"")</f>
        <v>3</v>
      </c>
    </row>
    <row r="41" spans="1:34" x14ac:dyDescent="0.2">
      <c r="A41" s="42">
        <v>0.35763888888888901</v>
      </c>
      <c r="B41" s="3"/>
      <c r="L41" s="103">
        <v>15</v>
      </c>
      <c r="M4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45863</v>
      </c>
      <c r="N41" s="20" t="str">
        <f t="array" ref="N41">IFERROR(IF($N$2=$K$2,INDEX($Q:$Q,MATCH(M41,$S:$S,0)),IF($N$2=$K$3,INDEX(Q:Q,MATCH(M41,V:V,0)),IF($N$2=$K$4,INDEX(Q:Q,MATCH(M41,Y:Y,0)),IF($N$2=$K$5,INDEX(Q:Q,MATCH(M41,AB:AB,0)),IF($N$2=$K$6,INDEX(Q:Q,MATCH(M41,AE:AE,0))))))),"")</f>
        <v>Teacher Payday</v>
      </c>
      <c r="O41" s="3"/>
      <c r="Q41" s="110" t="str">
        <f t="shared" si="25"/>
        <v>Christmas Break</v>
      </c>
      <c r="R41" s="215"/>
      <c r="S41" s="216"/>
      <c r="T41" s="204">
        <f t="shared" si="26"/>
        <v>45649</v>
      </c>
      <c r="U41" s="204"/>
      <c r="V41" s="205">
        <f t="shared" si="21"/>
        <v>45649</v>
      </c>
      <c r="W41" s="193">
        <f t="shared" si="27"/>
        <v>45650</v>
      </c>
      <c r="X41" s="193"/>
      <c r="Y41" s="194" t="str">
        <f t="shared" si="22"/>
        <v/>
      </c>
      <c r="Z41" s="178">
        <f t="shared" si="28"/>
        <v>45649</v>
      </c>
      <c r="AA41" s="178"/>
      <c r="AB41" s="179">
        <f t="shared" si="23"/>
        <v>45649</v>
      </c>
      <c r="AC41" s="163">
        <f t="shared" si="29"/>
        <v>45649</v>
      </c>
      <c r="AD41" s="163"/>
      <c r="AE41" s="164">
        <f t="shared" si="24"/>
        <v>45649</v>
      </c>
      <c r="AF41" s="111">
        <v>33</v>
      </c>
      <c r="AG41" s="1"/>
      <c r="AH41" s="1">
        <f t="shared" si="30"/>
        <v>4</v>
      </c>
    </row>
    <row r="42" spans="1:34" x14ac:dyDescent="0.2">
      <c r="A42" s="42">
        <v>0.36111111111111099</v>
      </c>
      <c r="B42" s="3"/>
      <c r="L42" s="103">
        <v>16</v>
      </c>
      <c r="M4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45460</v>
      </c>
      <c r="N42" s="20" t="str">
        <f t="array" ref="N42">IFERROR(IF($N$2=$K$2,INDEX($Q:$Q,MATCH(M42,$S:$S,0)),IF($N$2=$K$3,INDEX(Q:Q,MATCH(M42,V:V,0)),IF($N$2=$K$4,INDEX(Q:Q,MATCH(M42,Y:Y,0)),IF($N$2=$K$5,INDEX(Q:Q,MATCH(M42,AB:AB,0)),IF($N$2=$K$6,INDEX(Q:Q,MATCH(M42,AE:AE,0))))))),"")</f>
        <v>Timesheet Due</v>
      </c>
      <c r="O42" s="3" t="str">
        <f>IF(WEEKDAY(DATE(YEAR(Worksheet!T16),MONTH(Worksheet!T16),DAY(Worksheet!T16)+35))=6,DATE(YEAR(Worksheet!T16),MONTH(Worksheet!T16),DAY(Worksheet!T16)+34),IF(WEEKDAY(DATE(YEAR(Worksheet!T16),MONTH(Worksheet!T16),DAY(Worksheet!T16)+35))=7,DATE(YEAR(Worksheet!T16),MONTH(Worksheet!T16),DAY(Worksheet!T16)+33),IF(WEEKDAY(DATE(YEAR(Worksheet!T16),MONTH(Worksheet!T16),DAY(Worksheet!T16)+35))=1,DATE(YEAR(Worksheet!T16),MONTH(Worksheet!T16),DAY(Worksheet!T16)+32),"")))</f>
        <v/>
      </c>
      <c r="Q42" s="110" t="str">
        <f t="shared" si="25"/>
        <v>Christmas Break</v>
      </c>
      <c r="R42" s="215"/>
      <c r="S42" s="216"/>
      <c r="T42" s="204">
        <f t="shared" si="26"/>
        <v>45650</v>
      </c>
      <c r="U42" s="204"/>
      <c r="V42" s="205">
        <f t="shared" si="21"/>
        <v>45650</v>
      </c>
      <c r="W42" s="193">
        <f t="shared" si="27"/>
        <v>45651</v>
      </c>
      <c r="X42" s="193"/>
      <c r="Y42" s="194">
        <f t="shared" si="22"/>
        <v>45651</v>
      </c>
      <c r="Z42" s="178">
        <f t="shared" si="28"/>
        <v>45650</v>
      </c>
      <c r="AA42" s="178"/>
      <c r="AB42" s="179" t="str">
        <f t="shared" si="23"/>
        <v/>
      </c>
      <c r="AC42" s="163">
        <f t="shared" si="29"/>
        <v>45650</v>
      </c>
      <c r="AD42" s="163"/>
      <c r="AE42" s="164" t="str">
        <f t="shared" si="24"/>
        <v/>
      </c>
      <c r="AF42" s="111">
        <v>34</v>
      </c>
      <c r="AG42" s="1"/>
      <c r="AH42" s="1">
        <f t="shared" si="30"/>
        <v>5</v>
      </c>
    </row>
    <row r="43" spans="1:34" x14ac:dyDescent="0.2">
      <c r="A43" s="42">
        <v>0.48611111111110999</v>
      </c>
      <c r="B43" s="3"/>
      <c r="L43" s="103">
        <v>17</v>
      </c>
      <c r="M4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45489</v>
      </c>
      <c r="N43" s="20" t="str">
        <f t="array" ref="N43">IFERROR(IF($N$2=$K$2,INDEX($Q:$Q,MATCH(M43,$S:$S,0)),IF($N$2=$K$3,INDEX(Q:Q,MATCH(M43,V:V,0)),IF($N$2=$K$4,INDEX(Q:Q,MATCH(M43,Y:Y,0)),IF($N$2=$K$5,INDEX(Q:Q,MATCH(M43,AB:AB,0)),IF($N$2=$K$6,INDEX(Q:Q,MATCH(M43,AE:AE,0))))))),"")</f>
        <v>Timesheet Due</v>
      </c>
      <c r="O43" s="3"/>
      <c r="Q43" s="110" t="str">
        <f t="shared" si="25"/>
        <v>Christmas Break</v>
      </c>
      <c r="R43" s="215"/>
      <c r="S43" s="216"/>
      <c r="T43" s="204">
        <f t="shared" si="26"/>
        <v>45651</v>
      </c>
      <c r="U43" s="204"/>
      <c r="V43" s="205">
        <f t="shared" si="21"/>
        <v>45651</v>
      </c>
      <c r="W43" s="193">
        <f t="shared" si="27"/>
        <v>45652</v>
      </c>
      <c r="X43" s="193"/>
      <c r="Y43" s="194">
        <f t="shared" si="22"/>
        <v>45652</v>
      </c>
      <c r="Z43" s="178">
        <f t="shared" si="28"/>
        <v>45651</v>
      </c>
      <c r="AA43" s="178"/>
      <c r="AB43" s="179">
        <f t="shared" si="23"/>
        <v>45651</v>
      </c>
      <c r="AC43" s="163">
        <f t="shared" si="29"/>
        <v>45651</v>
      </c>
      <c r="AD43" s="163"/>
      <c r="AE43" s="164">
        <f t="shared" si="24"/>
        <v>45651</v>
      </c>
      <c r="AF43" s="111">
        <v>35</v>
      </c>
      <c r="AG43" s="1"/>
      <c r="AH43" s="1">
        <f t="shared" si="30"/>
        <v>6</v>
      </c>
    </row>
    <row r="44" spans="1:34" x14ac:dyDescent="0.2">
      <c r="A44" s="42">
        <v>0.48958333333333198</v>
      </c>
      <c r="B44" s="3"/>
      <c r="L44" s="103">
        <v>18</v>
      </c>
      <c r="M4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45520</v>
      </c>
      <c r="N44" s="20" t="str">
        <f t="array" ref="N44">IFERROR(IF($N$2=$K$2,INDEX($Q:$Q,MATCH(M44,$S:$S,0)),IF($N$2=$K$3,INDEX(Q:Q,MATCH(M44,V:V,0)),IF($N$2=$K$4,INDEX(Q:Q,MATCH(M44,Y:Y,0)),IF($N$2=$K$5,INDEX(Q:Q,MATCH(M44,AB:AB,0)),IF($N$2=$K$6,INDEX(Q:Q,MATCH(M44,AE:AE,0))))))),"")</f>
        <v>Timesheet Due</v>
      </c>
      <c r="O44" s="3"/>
      <c r="Q44" s="110" t="str">
        <f t="shared" si="25"/>
        <v>Christmas Break</v>
      </c>
      <c r="R44" s="215"/>
      <c r="S44" s="216"/>
      <c r="T44" s="204">
        <f t="shared" si="26"/>
        <v>45652</v>
      </c>
      <c r="U44" s="204"/>
      <c r="V44" s="205">
        <f t="shared" si="21"/>
        <v>45652</v>
      </c>
      <c r="W44" s="193">
        <f t="shared" si="27"/>
        <v>45653</v>
      </c>
      <c r="X44" s="193"/>
      <c r="Y44" s="194">
        <f t="shared" si="22"/>
        <v>45653</v>
      </c>
      <c r="Z44" s="178">
        <f t="shared" si="28"/>
        <v>45652</v>
      </c>
      <c r="AA44" s="178"/>
      <c r="AB44" s="179">
        <f t="shared" si="23"/>
        <v>45652</v>
      </c>
      <c r="AC44" s="163">
        <f t="shared" si="29"/>
        <v>45652</v>
      </c>
      <c r="AD44" s="163"/>
      <c r="AE44" s="164">
        <f t="shared" si="24"/>
        <v>45652</v>
      </c>
      <c r="AF44" s="111">
        <v>36</v>
      </c>
      <c r="AG44" s="1"/>
      <c r="AH44" s="1">
        <f t="shared" si="30"/>
        <v>7</v>
      </c>
    </row>
    <row r="45" spans="1:34" x14ac:dyDescent="0.2">
      <c r="A45" s="42">
        <v>0.49305555555555503</v>
      </c>
      <c r="B45" s="3"/>
      <c r="L45" s="103">
        <v>19</v>
      </c>
      <c r="M4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45551</v>
      </c>
      <c r="N45" s="20" t="str">
        <f t="array" ref="N45">IFERROR(IF($N$2=$K$2,INDEX($Q:$Q,MATCH(M45,$S:$S,0)),IF($N$2=$K$3,INDEX(Q:Q,MATCH(M45,V:V,0)),IF($N$2=$K$4,INDEX(Q:Q,MATCH(M45,Y:Y,0)),IF($N$2=$K$5,INDEX(Q:Q,MATCH(M45,AB:AB,0)),IF($N$2=$K$6,INDEX(Q:Q,MATCH(M45,AE:AE,0))))))),"")</f>
        <v>Timesheet Due</v>
      </c>
      <c r="O45" s="3"/>
      <c r="Q45" s="110" t="str">
        <f t="shared" si="25"/>
        <v>Christmas Break</v>
      </c>
      <c r="R45" s="215"/>
      <c r="S45" s="216"/>
      <c r="T45" s="204">
        <f t="shared" si="26"/>
        <v>45653</v>
      </c>
      <c r="U45" s="204"/>
      <c r="V45" s="205">
        <f t="shared" si="21"/>
        <v>45653</v>
      </c>
      <c r="W45" s="193">
        <f t="shared" si="27"/>
        <v>45654</v>
      </c>
      <c r="X45" s="193"/>
      <c r="Y45" s="194">
        <f t="shared" si="22"/>
        <v>45654</v>
      </c>
      <c r="Z45" s="178">
        <f t="shared" si="28"/>
        <v>45653</v>
      </c>
      <c r="AA45" s="178"/>
      <c r="AB45" s="179">
        <f t="shared" si="23"/>
        <v>45653</v>
      </c>
      <c r="AC45" s="163">
        <f t="shared" si="29"/>
        <v>45653</v>
      </c>
      <c r="AD45" s="163"/>
      <c r="AE45" s="164">
        <f t="shared" si="24"/>
        <v>45653</v>
      </c>
      <c r="AF45" s="111">
        <v>37</v>
      </c>
      <c r="AG45" s="1"/>
      <c r="AH45" s="1">
        <f t="shared" si="30"/>
        <v>8</v>
      </c>
    </row>
    <row r="46" spans="1:34" x14ac:dyDescent="0.2">
      <c r="A46" s="42">
        <v>0.49652777777777701</v>
      </c>
      <c r="B46" s="3"/>
      <c r="L46" s="103">
        <v>20</v>
      </c>
      <c r="M4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45581</v>
      </c>
      <c r="N46" s="20" t="str">
        <f t="array" ref="N46">IFERROR(IF($N$2=$K$2,INDEX($Q:$Q,MATCH(M46,$S:$S,0)),IF($N$2=$K$3,INDEX(Q:Q,MATCH(M46,V:V,0)),IF($N$2=$K$4,INDEX(Q:Q,MATCH(M46,Y:Y,0)),IF($N$2=$K$5,INDEX(Q:Q,MATCH(M46,AB:AB,0)),IF($N$2=$K$6,INDEX(Q:Q,MATCH(M46,AE:AE,0))))))),"")</f>
        <v>Timesheet Due</v>
      </c>
      <c r="O46" s="3"/>
      <c r="Q46" s="110" t="str">
        <f t="shared" si="25"/>
        <v>Christmas Break</v>
      </c>
      <c r="R46" s="215"/>
      <c r="S46" s="216"/>
      <c r="T46" s="204">
        <f t="shared" si="26"/>
        <v>45654</v>
      </c>
      <c r="U46" s="204"/>
      <c r="V46" s="205">
        <f t="shared" si="21"/>
        <v>45654</v>
      </c>
      <c r="W46" s="193">
        <f t="shared" si="27"/>
        <v>45655</v>
      </c>
      <c r="X46" s="193"/>
      <c r="Y46" s="194">
        <f t="shared" si="22"/>
        <v>45655</v>
      </c>
      <c r="Z46" s="178">
        <f t="shared" si="28"/>
        <v>45654</v>
      </c>
      <c r="AA46" s="178"/>
      <c r="AB46" s="179">
        <f t="shared" si="23"/>
        <v>45654</v>
      </c>
      <c r="AC46" s="163">
        <f t="shared" si="29"/>
        <v>45654</v>
      </c>
      <c r="AD46" s="163"/>
      <c r="AE46" s="164">
        <f t="shared" si="24"/>
        <v>45654</v>
      </c>
      <c r="AF46" s="111">
        <v>38</v>
      </c>
      <c r="AG46" s="1"/>
      <c r="AH46" s="1">
        <f t="shared" si="30"/>
        <v>9</v>
      </c>
    </row>
    <row r="47" spans="1:34" x14ac:dyDescent="0.2">
      <c r="A47" s="42">
        <v>0.499999999999999</v>
      </c>
      <c r="B47" s="3"/>
      <c r="L47" s="103">
        <v>21</v>
      </c>
      <c r="M4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45614</v>
      </c>
      <c r="N47" s="20" t="str">
        <f t="array" ref="N47">IFERROR(IF($N$2=$K$2,INDEX($Q:$Q,MATCH(M47,$S:$S,0)),IF($N$2=$K$3,INDEX(Q:Q,MATCH(M47,V:V,0)),IF($N$2=$K$4,INDEX(Q:Q,MATCH(M47,Y:Y,0)),IF($N$2=$K$5,INDEX(Q:Q,MATCH(M47,AB:AB,0)),IF($N$2=$K$6,INDEX(Q:Q,MATCH(M47,AE:AE,0))))))),"")</f>
        <v>Timesheet Due</v>
      </c>
      <c r="O47" s="3"/>
      <c r="Q47" s="110" t="str">
        <f t="shared" si="25"/>
        <v>Christmas Break</v>
      </c>
      <c r="R47" s="215"/>
      <c r="S47" s="216"/>
      <c r="T47" s="204">
        <f t="shared" si="26"/>
        <v>45655</v>
      </c>
      <c r="U47" s="204"/>
      <c r="V47" s="205">
        <f t="shared" si="21"/>
        <v>45655</v>
      </c>
      <c r="W47" s="193">
        <f t="shared" si="27"/>
        <v>45656</v>
      </c>
      <c r="X47" s="193"/>
      <c r="Y47" s="194">
        <f t="shared" si="22"/>
        <v>45656</v>
      </c>
      <c r="Z47" s="178">
        <f t="shared" si="28"/>
        <v>45655</v>
      </c>
      <c r="AA47" s="178"/>
      <c r="AB47" s="179">
        <f t="shared" si="23"/>
        <v>45655</v>
      </c>
      <c r="AC47" s="163">
        <f t="shared" si="29"/>
        <v>45655</v>
      </c>
      <c r="AD47" s="163"/>
      <c r="AE47" s="164">
        <f t="shared" si="24"/>
        <v>45655</v>
      </c>
      <c r="AF47" s="111">
        <v>39</v>
      </c>
      <c r="AG47" s="1"/>
      <c r="AH47" s="1">
        <f t="shared" si="30"/>
        <v>10</v>
      </c>
    </row>
    <row r="48" spans="1:34" x14ac:dyDescent="0.2">
      <c r="A48" s="42">
        <v>0.50347222222222099</v>
      </c>
      <c r="B48" s="3"/>
      <c r="L48" s="103">
        <v>22</v>
      </c>
      <c r="M4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45642</v>
      </c>
      <c r="N48" s="20" t="str">
        <f t="array" ref="N48">IFERROR(IF($N$2=$K$2,INDEX($Q:$Q,MATCH(M48,$S:$S,0)),IF($N$2=$K$3,INDEX(Q:Q,MATCH(M48,V:V,0)),IF($N$2=$K$4,INDEX(Q:Q,MATCH(M48,Y:Y,0)),IF($N$2=$K$5,INDEX(Q:Q,MATCH(M48,AB:AB,0)),IF($N$2=$K$6,INDEX(Q:Q,MATCH(M48,AE:AE,0))))))),"")</f>
        <v>Timesheet Due</v>
      </c>
      <c r="O48" s="3"/>
      <c r="Q48" s="110" t="str">
        <f t="shared" si="25"/>
        <v>Christmas Break</v>
      </c>
      <c r="R48" s="215"/>
      <c r="S48" s="216"/>
      <c r="T48" s="204">
        <f t="shared" si="26"/>
        <v>45656</v>
      </c>
      <c r="U48" s="204"/>
      <c r="V48" s="205">
        <f t="shared" si="21"/>
        <v>45656</v>
      </c>
      <c r="W48" s="193">
        <f t="shared" si="27"/>
        <v>45657</v>
      </c>
      <c r="X48" s="193"/>
      <c r="Y48" s="194">
        <f t="shared" si="22"/>
        <v>45657</v>
      </c>
      <c r="Z48" s="178">
        <f t="shared" si="28"/>
        <v>45656</v>
      </c>
      <c r="AA48" s="178"/>
      <c r="AB48" s="179">
        <f t="shared" si="23"/>
        <v>45656</v>
      </c>
      <c r="AC48" s="163">
        <f t="shared" si="29"/>
        <v>45656</v>
      </c>
      <c r="AD48" s="163"/>
      <c r="AE48" s="164">
        <f t="shared" si="24"/>
        <v>45656</v>
      </c>
      <c r="AF48" s="111">
        <v>40</v>
      </c>
      <c r="AG48" s="1"/>
      <c r="AH48" s="1">
        <f t="shared" si="30"/>
        <v>11</v>
      </c>
    </row>
    <row r="49" spans="1:34" x14ac:dyDescent="0.2">
      <c r="A49" s="42">
        <v>0.50694444444444398</v>
      </c>
      <c r="B49" s="3"/>
      <c r="L49" s="103">
        <v>23</v>
      </c>
      <c r="M4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45673</v>
      </c>
      <c r="N49" s="20" t="str">
        <f t="array" ref="N49">IFERROR(IF($N$2=$K$2,INDEX($Q:$Q,MATCH(M49,$S:$S,0)),IF($N$2=$K$3,INDEX(Q:Q,MATCH(M49,V:V,0)),IF($N$2=$K$4,INDEX(Q:Q,MATCH(M49,Y:Y,0)),IF($N$2=$K$5,INDEX(Q:Q,MATCH(M49,AB:AB,0)),IF($N$2=$K$6,INDEX(Q:Q,MATCH(M49,AE:AE,0))))))),"")</f>
        <v>Timesheet Due</v>
      </c>
      <c r="O49" s="3"/>
      <c r="Q49" s="110" t="str">
        <f t="shared" si="25"/>
        <v>Christmas Break</v>
      </c>
      <c r="R49" s="215"/>
      <c r="S49" s="216"/>
      <c r="T49" s="204">
        <f t="shared" si="26"/>
        <v>45657</v>
      </c>
      <c r="U49" s="204"/>
      <c r="V49" s="205">
        <f t="shared" si="21"/>
        <v>45657</v>
      </c>
      <c r="W49" s="193">
        <f t="shared" si="27"/>
        <v>45658</v>
      </c>
      <c r="X49" s="193"/>
      <c r="Y49" s="194">
        <f t="shared" si="22"/>
        <v>45658</v>
      </c>
      <c r="Z49" s="178">
        <f t="shared" si="28"/>
        <v>45657</v>
      </c>
      <c r="AA49" s="178"/>
      <c r="AB49" s="179">
        <f t="shared" si="23"/>
        <v>45657</v>
      </c>
      <c r="AC49" s="163">
        <f t="shared" si="29"/>
        <v>45657</v>
      </c>
      <c r="AD49" s="163"/>
      <c r="AE49" s="164">
        <f t="shared" si="24"/>
        <v>45657</v>
      </c>
      <c r="AF49" s="111">
        <v>41</v>
      </c>
      <c r="AG49" s="1"/>
      <c r="AH49" s="1">
        <f t="shared" si="30"/>
        <v>12</v>
      </c>
    </row>
    <row r="50" spans="1:34" x14ac:dyDescent="0.2">
      <c r="A50" s="42">
        <v>0.51041666666666596</v>
      </c>
      <c r="B50" s="3"/>
      <c r="L50" s="103">
        <v>24</v>
      </c>
      <c r="M5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45706</v>
      </c>
      <c r="N50" s="20" t="str">
        <f t="array" ref="N50">IFERROR(IF($N$2=$K$2,INDEX($Q:$Q,MATCH(M50,$S:$S,0)),IF($N$2=$K$3,INDEX(Q:Q,MATCH(M50,V:V,0)),IF($N$2=$K$4,INDEX(Q:Q,MATCH(M50,Y:Y,0)),IF($N$2=$K$5,INDEX(Q:Q,MATCH(M50,AB:AB,0)),IF($N$2=$K$6,INDEX(Q:Q,MATCH(M50,AE:AE,0))))))),"")</f>
        <v>Timesheet Due</v>
      </c>
      <c r="O50" s="3"/>
      <c r="Q50" s="110" t="str">
        <f t="shared" si="25"/>
        <v>Christmas Break</v>
      </c>
      <c r="R50" s="215"/>
      <c r="S50" s="216"/>
      <c r="T50" s="204">
        <f t="shared" si="26"/>
        <v>45658</v>
      </c>
      <c r="U50" s="204"/>
      <c r="V50" s="205">
        <f t="shared" si="21"/>
        <v>45658</v>
      </c>
      <c r="W50" s="193">
        <f t="shared" si="27"/>
        <v>45659</v>
      </c>
      <c r="X50" s="193"/>
      <c r="Y50" s="194">
        <f t="shared" si="22"/>
        <v>45659</v>
      </c>
      <c r="Z50" s="178">
        <f t="shared" si="28"/>
        <v>45658</v>
      </c>
      <c r="AA50" s="178"/>
      <c r="AB50" s="179">
        <f t="shared" si="23"/>
        <v>45658</v>
      </c>
      <c r="AC50" s="163">
        <f t="shared" si="29"/>
        <v>45658</v>
      </c>
      <c r="AD50" s="163"/>
      <c r="AE50" s="164">
        <f t="shared" si="24"/>
        <v>45658</v>
      </c>
      <c r="AF50" s="111">
        <v>42</v>
      </c>
      <c r="AG50" s="1"/>
      <c r="AH50" s="1">
        <f t="shared" si="30"/>
        <v>13</v>
      </c>
    </row>
    <row r="51" spans="1:34" x14ac:dyDescent="0.2">
      <c r="A51" s="42">
        <v>0.51388888888888795</v>
      </c>
      <c r="B51" s="3"/>
      <c r="L51" s="103">
        <v>25</v>
      </c>
      <c r="M5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45733</v>
      </c>
      <c r="N51" s="20" t="str">
        <f t="array" ref="N51">IFERROR(IF($N$2=$K$2,INDEX($Q:$Q,MATCH(M51,$S:$S,0)),IF($N$2=$K$3,INDEX(Q:Q,MATCH(M51,V:V,0)),IF($N$2=$K$4,INDEX(Q:Q,MATCH(M51,Y:Y,0)),IF($N$2=$K$5,INDEX(Q:Q,MATCH(M51,AB:AB,0)),IF($N$2=$K$6,INDEX(Q:Q,MATCH(M51,AE:AE,0))))))),"")</f>
        <v>Timesheet Due</v>
      </c>
      <c r="O51" s="3"/>
      <c r="Q51" s="110" t="str">
        <f t="shared" si="25"/>
        <v>Christmas Break</v>
      </c>
      <c r="R51" s="215"/>
      <c r="S51" s="216"/>
      <c r="T51" s="204">
        <f t="shared" si="26"/>
        <v>45659</v>
      </c>
      <c r="U51" s="204"/>
      <c r="V51" s="205">
        <f t="shared" si="21"/>
        <v>45659</v>
      </c>
      <c r="W51" s="193">
        <f t="shared" si="27"/>
        <v>45660</v>
      </c>
      <c r="X51" s="193"/>
      <c r="Y51" s="194">
        <f t="shared" si="22"/>
        <v>45660</v>
      </c>
      <c r="Z51" s="178" t="str">
        <f t="shared" si="28"/>
        <v/>
      </c>
      <c r="AA51" s="178"/>
      <c r="AB51" s="179" t="str">
        <f t="shared" si="23"/>
        <v/>
      </c>
      <c r="AC51" s="163">
        <f t="shared" si="29"/>
        <v>45659</v>
      </c>
      <c r="AD51" s="163"/>
      <c r="AE51" s="164">
        <f t="shared" si="24"/>
        <v>45659</v>
      </c>
      <c r="AF51" s="111">
        <v>43</v>
      </c>
      <c r="AG51" s="1"/>
      <c r="AH51" s="1">
        <f t="shared" si="30"/>
        <v>14</v>
      </c>
    </row>
    <row r="52" spans="1:34" x14ac:dyDescent="0.2">
      <c r="A52" s="42">
        <v>0.55555555555555403</v>
      </c>
      <c r="B52" s="3"/>
      <c r="L52" s="103">
        <v>26</v>
      </c>
      <c r="M5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45763</v>
      </c>
      <c r="N52" s="20" t="str">
        <f t="array" ref="N52">IFERROR(IF($N$2=$K$2,INDEX($Q:$Q,MATCH(M52,$S:$S,0)),IF($N$2=$K$3,INDEX(Q:Q,MATCH(M52,V:V,0)),IF($N$2=$K$4,INDEX(Q:Q,MATCH(M52,Y:Y,0)),IF($N$2=$K$5,INDEX(Q:Q,MATCH(M52,AB:AB,0)),IF($N$2=$K$6,INDEX(Q:Q,MATCH(M52,AE:AE,0))))))),"")</f>
        <v>Timesheet Due</v>
      </c>
      <c r="O52" s="3"/>
      <c r="Q52" s="110" t="str">
        <f t="shared" si="25"/>
        <v>Christmas Break</v>
      </c>
      <c r="R52" s="215"/>
      <c r="S52" s="216"/>
      <c r="T52" s="204">
        <f t="shared" si="26"/>
        <v>45660</v>
      </c>
      <c r="U52" s="204"/>
      <c r="V52" s="205">
        <f t="shared" si="21"/>
        <v>45660</v>
      </c>
      <c r="W52" s="193" t="str">
        <f t="shared" si="27"/>
        <v/>
      </c>
      <c r="X52" s="193"/>
      <c r="Y52" s="194" t="str">
        <f t="shared" si="22"/>
        <v/>
      </c>
      <c r="Z52" s="178" t="str">
        <f t="shared" si="28"/>
        <v/>
      </c>
      <c r="AA52" s="178"/>
      <c r="AB52" s="179" t="str">
        <f t="shared" si="23"/>
        <v/>
      </c>
      <c r="AC52" s="163">
        <f t="shared" si="29"/>
        <v>45660</v>
      </c>
      <c r="AD52" s="163"/>
      <c r="AE52" s="164">
        <f t="shared" si="24"/>
        <v>45660</v>
      </c>
      <c r="AF52" s="111">
        <v>44</v>
      </c>
      <c r="AG52" s="1"/>
      <c r="AH52" s="1">
        <f t="shared" si="30"/>
        <v>15</v>
      </c>
    </row>
    <row r="53" spans="1:34" x14ac:dyDescent="0.2">
      <c r="A53" s="42">
        <v>0.55902777777777701</v>
      </c>
      <c r="B53" s="3"/>
      <c r="L53" s="103">
        <v>27</v>
      </c>
      <c r="M5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45793</v>
      </c>
      <c r="N53" s="20" t="str">
        <f t="array" ref="N53">IFERROR(IF($N$2=$K$2,INDEX($Q:$Q,MATCH(M53,$S:$S,0)),IF($N$2=$K$3,INDEX(Q:Q,MATCH(M53,V:V,0)),IF($N$2=$K$4,INDEX(Q:Q,MATCH(M53,Y:Y,0)),IF($N$2=$K$5,INDEX(Q:Q,MATCH(M53,AB:AB,0)),IF($N$2=$K$6,INDEX(Q:Q,MATCH(M53,AE:AE,0))))))),"")</f>
        <v>Timesheet Due</v>
      </c>
      <c r="O53" s="3"/>
      <c r="P53" s="3"/>
      <c r="Q53" s="108" t="str">
        <f t="shared" si="25"/>
        <v/>
      </c>
      <c r="R53" s="167"/>
      <c r="S53" s="158"/>
      <c r="T53" s="202" t="str">
        <f t="shared" si="26"/>
        <v/>
      </c>
      <c r="U53" s="200"/>
      <c r="V53" s="203" t="str">
        <f t="shared" ref="V53" si="31">IF(T53="","",T53)</f>
        <v/>
      </c>
      <c r="W53" s="191" t="str">
        <f t="shared" si="27"/>
        <v/>
      </c>
      <c r="X53" s="188"/>
      <c r="Y53" s="192" t="str">
        <f t="shared" ref="Y53" si="32">IF(W53="","",W53)</f>
        <v/>
      </c>
      <c r="Z53" s="176" t="str">
        <f t="shared" si="28"/>
        <v/>
      </c>
      <c r="AA53" s="173"/>
      <c r="AB53" s="177" t="str">
        <f t="shared" ref="AB53" si="33">IF(Z53="","",Z53)</f>
        <v/>
      </c>
      <c r="AC53" s="161" t="str">
        <f>IFERROR(IF(AC52=$E$10,"",AC52+1),"")</f>
        <v/>
      </c>
      <c r="AD53" s="159"/>
      <c r="AE53" s="162" t="str">
        <f t="shared" si="20"/>
        <v/>
      </c>
      <c r="AF53" s="3">
        <v>45</v>
      </c>
      <c r="AG53" s="1"/>
      <c r="AH53" s="1" t="str">
        <f t="shared" si="30"/>
        <v/>
      </c>
    </row>
    <row r="54" spans="1:34" x14ac:dyDescent="0.2">
      <c r="A54" s="42">
        <v>0.562499999999999</v>
      </c>
      <c r="B54" s="3"/>
      <c r="L54" s="103">
        <v>28</v>
      </c>
      <c r="M5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45824</v>
      </c>
      <c r="N54" s="20" t="str">
        <f t="array" ref="N54">IFERROR(IF($N$2=$K$2,INDEX($Q:$Q,MATCH(M54,$S:$S,0)),IF($N$2=$K$3,INDEX(Q:Q,MATCH(M54,V:V,0)),IF($N$2=$K$4,INDEX(Q:Q,MATCH(M54,Y:Y,0)),IF($N$2=$K$5,INDEX(Q:Q,MATCH(M54,AB:AB,0)),IF($N$2=$K$6,INDEX(Q:Q,MATCH(M54,AE:AE,0))))))),"")</f>
        <v>Timesheet Due</v>
      </c>
      <c r="O54" s="3"/>
      <c r="P54" s="3"/>
      <c r="Q54" s="113" t="s">
        <v>122</v>
      </c>
      <c r="R54" s="217"/>
      <c r="S54" s="166"/>
      <c r="T54" s="206">
        <f>$G$11</f>
        <v>45740</v>
      </c>
      <c r="U54" s="206"/>
      <c r="V54" s="207">
        <f>IFERROR(IF(T54=INDEX(V$10:V$36,MATCH(T54,V$10:V$36,0)),"",IF(T54="","",T54)),T54)</f>
        <v>45740</v>
      </c>
      <c r="W54" s="195">
        <f>$I$11</f>
        <v>45740</v>
      </c>
      <c r="X54" s="195"/>
      <c r="Y54" s="196">
        <f>IFERROR(IF(W54=INDEX(Y$10:Y$36,MATCH(W54,Y$10:Y$36,0)),"",IF(W54="","",W54)),W54)</f>
        <v>45740</v>
      </c>
      <c r="Z54" s="180">
        <f>$J$11</f>
        <v>45740</v>
      </c>
      <c r="AA54" s="180"/>
      <c r="AB54" s="181">
        <f>IFERROR(IF(Z54=INDEX(AB$10:AB$36,MATCH(Z54,AB$10:AB$36,0)),"",IF(Z54="","",Z54)),Z54)</f>
        <v>45740</v>
      </c>
      <c r="AC54" s="165">
        <f>$E$11</f>
        <v>45740</v>
      </c>
      <c r="AD54" s="165"/>
      <c r="AE54" s="166">
        <f>IFERROR(IF(AC54=INDEX(AE$10:AE$36,MATCH(AC54,AE$10:AE$36,0)),"",IF(AC54="","",AC54)),AC54)</f>
        <v>45740</v>
      </c>
      <c r="AF54" s="114">
        <v>46</v>
      </c>
      <c r="AG54" s="1"/>
      <c r="AH54" s="1">
        <v>1</v>
      </c>
    </row>
    <row r="55" spans="1:34" x14ac:dyDescent="0.2">
      <c r="A55" s="42">
        <v>0.56597222222222099</v>
      </c>
      <c r="B55" s="3"/>
      <c r="L55" s="103">
        <v>29</v>
      </c>
      <c r="M5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55" s="20">
        <f t="array" ref="N55">IFERROR(IF($N$2=$K$2,INDEX($Q:$Q,MATCH(M55,$S:$S,0)),IF($N$2=$K$3,INDEX(Q:Q,MATCH(M55,V:V,0)),IF($N$2=$K$4,INDEX(Q:Q,MATCH(M55,Y:Y,0)),IF($N$2=$K$5,INDEX(Q:Q,MATCH(M55,AB:AB,0)),IF($N$2=$K$6,INDEX(Q:Q,MATCH(M55,AE:AE,0))))))),"")</f>
        <v>0</v>
      </c>
      <c r="O55" s="3"/>
      <c r="P55" s="3"/>
      <c r="Q55" s="115" t="str">
        <f t="shared" ref="Q55:Q57" si="34">IF(AH55&lt;&gt;"","Spring Break","")</f>
        <v>Spring Break</v>
      </c>
      <c r="R55" s="218"/>
      <c r="S55" s="219"/>
      <c r="T55" s="206">
        <f>IFERROR(IF(T54=$G$12,"",T54+1),"")</f>
        <v>45741</v>
      </c>
      <c r="U55" s="206"/>
      <c r="V55" s="207" t="str">
        <f t="shared" ref="V55:V58" si="35">IFERROR(IF(T55=INDEX(V$10:V$36,MATCH(T55,V$10:V$36,0)),"",IF(T55="","",T55)),T55)</f>
        <v/>
      </c>
      <c r="W55" s="195">
        <f>IFERROR(IF(W54=$I$12,"",W54+1),"")</f>
        <v>45741</v>
      </c>
      <c r="X55" s="195"/>
      <c r="Y55" s="196" t="str">
        <f t="shared" ref="Y55:Y58" si="36">IFERROR(IF(W55=INDEX(Y$10:Y$36,MATCH(W55,Y$10:Y$36,0)),"",IF(W55="","",W55)),W55)</f>
        <v/>
      </c>
      <c r="Z55" s="180">
        <f>IFERROR(IF(Z54=$J$12,"",Z54+1),"")</f>
        <v>45741</v>
      </c>
      <c r="AA55" s="180"/>
      <c r="AB55" s="181" t="str">
        <f t="shared" ref="AB55:AB58" si="37">IFERROR(IF(Z55=INDEX(AB$10:AB$36,MATCH(Z55,AB$10:AB$36,0)),"",IF(Z55="","",Z55)),Z55)</f>
        <v/>
      </c>
      <c r="AC55" s="165">
        <f>IFERROR(IF(AC54=$E$12,"",AC54+1),"")</f>
        <v>45741</v>
      </c>
      <c r="AD55" s="165"/>
      <c r="AE55" s="166" t="str">
        <f t="shared" ref="AE55:AE58" si="38">IFERROR(IF(AC55=INDEX(AE$10:AE$36,MATCH(AC55,AE$10:AE$36,0)),"",IF(AC55="","",AC55)),AC55)</f>
        <v/>
      </c>
      <c r="AF55" s="113">
        <v>47</v>
      </c>
      <c r="AG55" s="1"/>
      <c r="AH55" s="1">
        <f>IFERROR(IF(AH54=$D$19,"",AH54+1),"")</f>
        <v>2</v>
      </c>
    </row>
    <row r="56" spans="1:34" x14ac:dyDescent="0.2">
      <c r="A56" s="42">
        <v>0.56944444444444298</v>
      </c>
      <c r="B56" s="3"/>
      <c r="L56" s="103">
        <v>30</v>
      </c>
      <c r="M5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45646</v>
      </c>
      <c r="N56" s="20" t="str">
        <f t="array" ref="N56">IFERROR(IF($N$2=$K$2,INDEX($Q:$Q,MATCH(M56,$S:$S,0)),IF($N$2=$K$3,INDEX(Q:Q,MATCH(M56,V:V,0)),IF($N$2=$K$4,INDEX(Q:Q,MATCH(M56,Y:Y,0)),IF($N$2=$K$5,INDEX(Q:Q,MATCH(M56,AB:AB,0)),IF($N$2=$K$6,INDEX(Q:Q,MATCH(M56,AE:AE,0))))))),"")</f>
        <v>Christmas Break</v>
      </c>
      <c r="O56" s="3"/>
      <c r="P56" s="3"/>
      <c r="Q56" s="115" t="str">
        <f t="shared" si="34"/>
        <v>Spring Break</v>
      </c>
      <c r="R56" s="218"/>
      <c r="S56" s="219"/>
      <c r="T56" s="206">
        <f t="shared" ref="T56:T59" si="39">IFERROR(IF(T55=$G$12,"",T55+1),"")</f>
        <v>45742</v>
      </c>
      <c r="U56" s="206"/>
      <c r="V56" s="207">
        <f t="shared" si="35"/>
        <v>45742</v>
      </c>
      <c r="W56" s="195">
        <f t="shared" ref="W56:W59" si="40">IFERROR(IF(W55=$I$12,"",W55+1),"")</f>
        <v>45742</v>
      </c>
      <c r="X56" s="195"/>
      <c r="Y56" s="196">
        <f t="shared" si="36"/>
        <v>45742</v>
      </c>
      <c r="Z56" s="180">
        <f t="shared" ref="Z56:Z59" si="41">IFERROR(IF(Z55=$J$12,"",Z55+1),"")</f>
        <v>45742</v>
      </c>
      <c r="AA56" s="180"/>
      <c r="AB56" s="181">
        <f t="shared" si="37"/>
        <v>45742</v>
      </c>
      <c r="AC56" s="165">
        <f t="shared" ref="AC56:AC59" si="42">IFERROR(IF(AC55=$E$12,"",AC55+1),"")</f>
        <v>45742</v>
      </c>
      <c r="AD56" s="165"/>
      <c r="AE56" s="166">
        <f t="shared" si="38"/>
        <v>45742</v>
      </c>
      <c r="AF56" s="114">
        <v>48</v>
      </c>
      <c r="AG56" s="1"/>
      <c r="AH56" s="1">
        <f t="shared" ref="AH56:AH63" si="43">IFERROR(IF(AH55=$D$19,"",AH55+1),"")</f>
        <v>3</v>
      </c>
    </row>
    <row r="57" spans="1:34" x14ac:dyDescent="0.2">
      <c r="A57" s="42">
        <v>0.57291666666666596</v>
      </c>
      <c r="B57" s="3"/>
      <c r="L57" s="103">
        <v>31</v>
      </c>
      <c r="M5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45647</v>
      </c>
      <c r="N57" s="20" t="str">
        <f t="array" ref="N57">IFERROR(IF($N$2=$K$2,INDEX($Q:$Q,MATCH(M57,$S:$S,0)),IF($N$2=$K$3,INDEX(Q:Q,MATCH(M57,V:V,0)),IF($N$2=$K$4,INDEX(Q:Q,MATCH(M57,Y:Y,0)),IF($N$2=$K$5,INDEX(Q:Q,MATCH(M57,AB:AB,0)),IF($N$2=$K$6,INDEX(Q:Q,MATCH(M57,AE:AE,0))))))),"")</f>
        <v>Christmas Break</v>
      </c>
      <c r="O57" s="3"/>
      <c r="P57" s="3"/>
      <c r="Q57" s="115" t="str">
        <f t="shared" si="34"/>
        <v>Spring Break</v>
      </c>
      <c r="R57" s="218"/>
      <c r="S57" s="219"/>
      <c r="T57" s="206">
        <f t="shared" si="39"/>
        <v>45743</v>
      </c>
      <c r="U57" s="206"/>
      <c r="V57" s="207">
        <f t="shared" si="35"/>
        <v>45743</v>
      </c>
      <c r="W57" s="195">
        <f t="shared" si="40"/>
        <v>45743</v>
      </c>
      <c r="X57" s="195"/>
      <c r="Y57" s="196">
        <f t="shared" si="36"/>
        <v>45743</v>
      </c>
      <c r="Z57" s="180">
        <f t="shared" si="41"/>
        <v>45743</v>
      </c>
      <c r="AA57" s="180"/>
      <c r="AB57" s="181">
        <f t="shared" si="37"/>
        <v>45743</v>
      </c>
      <c r="AC57" s="165">
        <f t="shared" si="42"/>
        <v>45743</v>
      </c>
      <c r="AD57" s="165"/>
      <c r="AE57" s="166">
        <f t="shared" si="38"/>
        <v>45743</v>
      </c>
      <c r="AF57" s="113">
        <v>49</v>
      </c>
      <c r="AG57" s="1"/>
      <c r="AH57" s="1">
        <f t="shared" si="43"/>
        <v>4</v>
      </c>
    </row>
    <row r="58" spans="1:34" x14ac:dyDescent="0.2">
      <c r="A58" s="42">
        <v>0.57638888888888795</v>
      </c>
      <c r="B58" s="3"/>
      <c r="L58" s="103">
        <v>32</v>
      </c>
      <c r="M5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45648</v>
      </c>
      <c r="N58" s="20" t="str">
        <f t="array" ref="N58">IFERROR(IF($N$2=$K$2,INDEX($Q:$Q,MATCH(M58,$S:$S,0)),IF($N$2=$K$3,INDEX(Q:Q,MATCH(M58,V:V,0)),IF($N$2=$K$4,INDEX(Q:Q,MATCH(M58,Y:Y,0)),IF($N$2=$K$5,INDEX(Q:Q,MATCH(M58,AB:AB,0)),IF($N$2=$K$6,INDEX(Q:Q,MATCH(M58,AE:AE,0))))))),"")</f>
        <v>Christmas Break</v>
      </c>
      <c r="O58" s="3"/>
      <c r="P58" s="3"/>
      <c r="Q58" s="115" t="str">
        <f>IF(AH58&lt;&gt;"","Spring Break","")</f>
        <v>Spring Break</v>
      </c>
      <c r="R58" s="218"/>
      <c r="S58" s="219"/>
      <c r="T58" s="206">
        <f t="shared" si="39"/>
        <v>45744</v>
      </c>
      <c r="U58" s="206"/>
      <c r="V58" s="207">
        <f t="shared" si="35"/>
        <v>45744</v>
      </c>
      <c r="W58" s="195">
        <f t="shared" si="40"/>
        <v>45744</v>
      </c>
      <c r="X58" s="195"/>
      <c r="Y58" s="196">
        <f t="shared" si="36"/>
        <v>45744</v>
      </c>
      <c r="Z58" s="180">
        <f t="shared" si="41"/>
        <v>45744</v>
      </c>
      <c r="AA58" s="180"/>
      <c r="AB58" s="181">
        <f t="shared" si="37"/>
        <v>45744</v>
      </c>
      <c r="AC58" s="165">
        <f t="shared" si="42"/>
        <v>45744</v>
      </c>
      <c r="AD58" s="165"/>
      <c r="AE58" s="166">
        <f t="shared" si="38"/>
        <v>45744</v>
      </c>
      <c r="AF58" s="114">
        <v>50</v>
      </c>
      <c r="AG58" s="1"/>
      <c r="AH58" s="1">
        <f t="shared" si="43"/>
        <v>5</v>
      </c>
    </row>
    <row r="59" spans="1:34" x14ac:dyDescent="0.2">
      <c r="A59" s="42">
        <v>0.57986111111111005</v>
      </c>
      <c r="B59" s="3"/>
      <c r="L59" s="103">
        <v>33</v>
      </c>
      <c r="M5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45649</v>
      </c>
      <c r="N59" s="20" t="str">
        <f t="array" ref="N59">IFERROR(IF($N$2=$K$2,INDEX($Q:$Q,MATCH(M59,$S:$S,0)),IF($N$2=$K$3,INDEX(Q:Q,MATCH(M59,V:V,0)),IF($N$2=$K$4,INDEX(Q:Q,MATCH(M59,Y:Y,0)),IF($N$2=$K$5,INDEX(Q:Q,MATCH(M59,AB:AB,0)),IF($N$2=$K$6,INDEX(Q:Q,MATCH(M59,AE:AE,0))))))),"")</f>
        <v>Christmas Break</v>
      </c>
      <c r="O59" s="3"/>
      <c r="P59" s="3"/>
      <c r="Q59" s="7" t="str">
        <f t="shared" ref="Q59" si="44">IF(AH60&lt;&gt;"","Spring Break","")</f>
        <v/>
      </c>
      <c r="R59" s="220"/>
      <c r="S59" s="212"/>
      <c r="T59" s="200" t="str">
        <f t="shared" si="39"/>
        <v/>
      </c>
      <c r="U59" s="200"/>
      <c r="V59" s="203" t="str">
        <f t="shared" si="19"/>
        <v/>
      </c>
      <c r="W59" s="188" t="str">
        <f t="shared" si="40"/>
        <v/>
      </c>
      <c r="X59" s="188"/>
      <c r="Y59" s="192" t="str">
        <f t="shared" si="8"/>
        <v/>
      </c>
      <c r="Z59" s="173" t="str">
        <f t="shared" si="41"/>
        <v/>
      </c>
      <c r="AA59" s="173"/>
      <c r="AB59" s="177" t="str">
        <f t="shared" si="9"/>
        <v/>
      </c>
      <c r="AC59" s="165" t="str">
        <f t="shared" si="42"/>
        <v/>
      </c>
      <c r="AD59" s="159"/>
      <c r="AE59" s="162" t="str">
        <f t="shared" si="20"/>
        <v/>
      </c>
      <c r="AF59" s="3">
        <v>51</v>
      </c>
      <c r="AG59" s="1"/>
      <c r="AH59" s="1" t="str">
        <f t="shared" si="43"/>
        <v/>
      </c>
    </row>
    <row r="60" spans="1:34" x14ac:dyDescent="0.2">
      <c r="A60" s="42">
        <v>0.58333333333333204</v>
      </c>
      <c r="B60" s="3"/>
      <c r="L60" s="103">
        <v>34</v>
      </c>
      <c r="M6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60" s="20">
        <f t="array" ref="N60">IFERROR(IF($N$2=$K$2,INDEX($Q:$Q,MATCH(M60,$S:$S,0)),IF($N$2=$K$3,INDEX(Q:Q,MATCH(M60,V:V,0)),IF($N$2=$K$4,INDEX(Q:Q,MATCH(M60,Y:Y,0)),IF($N$2=$K$5,INDEX(Q:Q,MATCH(M60,AB:AB,0)),IF($N$2=$K$6,INDEX(Q:Q,MATCH(M60,AE:AE,0))))))),"")</f>
        <v>0</v>
      </c>
      <c r="O60" s="3"/>
      <c r="P60" s="3"/>
      <c r="Q60" s="7" t="s">
        <v>125</v>
      </c>
      <c r="R60" s="220"/>
      <c r="S60" s="212"/>
      <c r="T60" s="200">
        <v>45820</v>
      </c>
      <c r="U60" s="200"/>
      <c r="V60" s="203">
        <f t="shared" si="19"/>
        <v>45820</v>
      </c>
      <c r="W60" s="187">
        <v>45813</v>
      </c>
      <c r="X60" s="188"/>
      <c r="Y60" s="192">
        <f t="shared" si="8"/>
        <v>45813</v>
      </c>
      <c r="Z60" s="172">
        <v>45812</v>
      </c>
      <c r="AA60" s="173"/>
      <c r="AB60" s="177">
        <f t="shared" si="9"/>
        <v>45812</v>
      </c>
      <c r="AC60" s="157">
        <v>45812</v>
      </c>
      <c r="AD60" s="159"/>
      <c r="AE60" s="162">
        <f t="shared" si="20"/>
        <v>45812</v>
      </c>
      <c r="AF60" s="1">
        <v>52</v>
      </c>
      <c r="AG60" s="1"/>
      <c r="AH60" s="1" t="str">
        <f t="shared" si="43"/>
        <v/>
      </c>
    </row>
    <row r="61" spans="1:34" x14ac:dyDescent="0.2">
      <c r="A61" s="42">
        <v>0.58680555555555403</v>
      </c>
      <c r="B61" s="3"/>
      <c r="L61" s="103">
        <v>35</v>
      </c>
      <c r="M6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45651</v>
      </c>
      <c r="N61" s="20" t="str">
        <f t="array" ref="N61">IFERROR(IF($N$2=$K$2,INDEX($Q:$Q,MATCH(M61,$S:$S,0)),IF($N$2=$K$3,INDEX(Q:Q,MATCH(M61,V:V,0)),IF($N$2=$K$4,INDEX(Q:Q,MATCH(M61,Y:Y,0)),IF($N$2=$K$5,INDEX(Q:Q,MATCH(M61,AB:AB,0)),IF($N$2=$K$6,INDEX(Q:Q,MATCH(M61,AE:AE,0))))))),"")</f>
        <v>Christmas Break</v>
      </c>
      <c r="O61" s="3"/>
      <c r="P61" s="3"/>
      <c r="Q61" s="7"/>
      <c r="R61" s="220"/>
      <c r="S61" s="212"/>
      <c r="T61" s="200"/>
      <c r="U61" s="200"/>
      <c r="V61" s="203" t="str">
        <f t="shared" si="19"/>
        <v/>
      </c>
      <c r="W61" s="187"/>
      <c r="X61" s="188"/>
      <c r="Y61" s="192" t="str">
        <f t="shared" si="8"/>
        <v/>
      </c>
      <c r="Z61" s="172"/>
      <c r="AA61" s="173"/>
      <c r="AB61" s="182"/>
      <c r="AC61" s="159"/>
      <c r="AD61" s="167"/>
      <c r="AE61" s="158" t="str">
        <f t="shared" si="20"/>
        <v/>
      </c>
      <c r="AF61" s="3">
        <v>53</v>
      </c>
      <c r="AG61" s="1"/>
      <c r="AH61" s="1" t="str">
        <f t="shared" si="43"/>
        <v/>
      </c>
    </row>
    <row r="62" spans="1:34" x14ac:dyDescent="0.2">
      <c r="A62" s="42">
        <v>0.59027777777777701</v>
      </c>
      <c r="B62" s="3"/>
      <c r="L62" s="103">
        <v>36</v>
      </c>
      <c r="M6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45652</v>
      </c>
      <c r="N62" s="20" t="str">
        <f t="array" ref="N62">IFERROR(IF($N$2=$K$2,INDEX($Q:$Q,MATCH(M62,$S:$S,0)),IF($N$2=$K$3,INDEX(Q:Q,MATCH(M62,V:V,0)),IF($N$2=$K$4,INDEX(Q:Q,MATCH(M62,Y:Y,0)),IF($N$2=$K$5,INDEX(Q:Q,MATCH(M62,AB:AB,0)),IF($N$2=$K$6,INDEX(Q:Q,MATCH(M62,AE:AE,0))))))),"")</f>
        <v>Christmas Break</v>
      </c>
      <c r="O62" s="3"/>
      <c r="P62" s="3"/>
      <c r="Q62" s="7"/>
      <c r="R62" s="220"/>
      <c r="S62" s="212"/>
      <c r="T62" s="200"/>
      <c r="U62" s="200"/>
      <c r="V62" s="208"/>
      <c r="W62" s="187"/>
      <c r="X62" s="188"/>
      <c r="Y62" s="197"/>
      <c r="Z62" s="172"/>
      <c r="AA62" s="173"/>
      <c r="AB62" s="182"/>
      <c r="AC62" s="159"/>
      <c r="AD62" s="167"/>
      <c r="AE62" s="158" t="str">
        <f t="shared" si="20"/>
        <v/>
      </c>
      <c r="AF62" s="1">
        <v>54</v>
      </c>
      <c r="AG62" s="1"/>
      <c r="AH62" s="1" t="str">
        <f t="shared" si="43"/>
        <v/>
      </c>
    </row>
    <row r="63" spans="1:34" x14ac:dyDescent="0.2">
      <c r="A63" s="42">
        <v>0.593749999999999</v>
      </c>
      <c r="B63" s="3"/>
      <c r="L63" s="103">
        <v>37</v>
      </c>
      <c r="M6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45653</v>
      </c>
      <c r="N63" s="20" t="str">
        <f t="array" ref="N63">IFERROR(IF($N$2=$K$2,INDEX($Q:$Q,MATCH(M63,$S:$S,0)),IF($N$2=$K$3,INDEX(Q:Q,MATCH(M63,V:V,0)),IF($N$2=$K$4,INDEX(Q:Q,MATCH(M63,Y:Y,0)),IF($N$2=$K$5,INDEX(Q:Q,MATCH(M63,AB:AB,0)),IF($N$2=$K$6,INDEX(Q:Q,MATCH(M63,AE:AE,0))))))),"")</f>
        <v>Christmas Break</v>
      </c>
      <c r="O63" s="3"/>
      <c r="P63" s="3"/>
      <c r="Q63" s="7"/>
      <c r="R63" s="220"/>
      <c r="S63" s="212"/>
      <c r="T63" s="209"/>
      <c r="U63" s="209"/>
      <c r="V63" s="210"/>
      <c r="W63" s="187"/>
      <c r="X63" s="185"/>
      <c r="Z63" s="172"/>
      <c r="AA63" s="171"/>
      <c r="AB63" s="183"/>
      <c r="AD63" s="168"/>
      <c r="AE63" s="158" t="str">
        <f t="shared" si="20"/>
        <v/>
      </c>
      <c r="AF63" s="3">
        <v>55</v>
      </c>
      <c r="AG63" s="1"/>
      <c r="AH63" s="1" t="str">
        <f t="shared" si="43"/>
        <v/>
      </c>
    </row>
    <row r="64" spans="1:34" x14ac:dyDescent="0.2">
      <c r="A64" s="42">
        <v>0.59722222222222099</v>
      </c>
      <c r="B64" s="3"/>
      <c r="L64" s="103">
        <v>38</v>
      </c>
      <c r="M6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45654</v>
      </c>
      <c r="N64" s="20" t="str">
        <f t="array" ref="N64">IFERROR(IF($N$2=$K$2,INDEX($Q:$Q,MATCH(M64,$S:$S,0)),IF($N$2=$K$3,INDEX(Q:Q,MATCH(M64,V:V,0)),IF($N$2=$K$4,INDEX(Q:Q,MATCH(M64,Y:Y,0)),IF($N$2=$K$5,INDEX(Q:Q,MATCH(M64,AB:AB,0)),IF($N$2=$K$6,INDEX(Q:Q,MATCH(M64,AE:AE,0))))))),"")</f>
        <v>Christmas Break</v>
      </c>
      <c r="O64" s="3"/>
      <c r="Q64" s="7"/>
      <c r="R64" s="220"/>
      <c r="S64" s="212"/>
      <c r="T64" s="209"/>
      <c r="U64" s="209"/>
      <c r="V64" s="210"/>
      <c r="W64" s="187"/>
      <c r="X64" s="185"/>
      <c r="Z64" s="172"/>
      <c r="AA64" s="171"/>
      <c r="AB64" s="183"/>
      <c r="AD64" s="168"/>
      <c r="AE64" s="158" t="str">
        <f t="shared" si="20"/>
        <v/>
      </c>
      <c r="AF64" s="1">
        <v>56</v>
      </c>
      <c r="AG64" s="1"/>
      <c r="AH64" s="1"/>
    </row>
    <row r="65" spans="1:34" x14ac:dyDescent="0.2">
      <c r="A65" s="42">
        <v>0.60069444444444298</v>
      </c>
      <c r="B65" s="3"/>
      <c r="L65" s="103">
        <v>39</v>
      </c>
      <c r="M6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45655</v>
      </c>
      <c r="N65" s="20" t="str">
        <f t="array" ref="N65">IFERROR(IF($N$2=$K$2,INDEX($Q:$Q,MATCH(M65,$S:$S,0)),IF($N$2=$K$3,INDEX(Q:Q,MATCH(M65,V:V,0)),IF($N$2=$K$4,INDEX(Q:Q,MATCH(M65,Y:Y,0)),IF($N$2=$K$5,INDEX(Q:Q,MATCH(M65,AB:AB,0)),IF($N$2=$K$6,INDEX(Q:Q,MATCH(M65,AE:AE,0))))))),"")</f>
        <v>Christmas Break</v>
      </c>
      <c r="O65" s="3"/>
      <c r="Q65" s="7"/>
      <c r="R65" s="220"/>
      <c r="S65" s="212"/>
      <c r="T65" s="209"/>
      <c r="U65" s="209"/>
      <c r="V65" s="210"/>
      <c r="W65" s="187"/>
      <c r="X65" s="185"/>
      <c r="Z65" s="172"/>
      <c r="AA65" s="171"/>
      <c r="AB65" s="183"/>
      <c r="AD65" s="168"/>
      <c r="AE65" s="158" t="str">
        <f t="shared" si="20"/>
        <v/>
      </c>
      <c r="AF65" s="3">
        <v>57</v>
      </c>
      <c r="AG65" s="1"/>
      <c r="AH65" s="1"/>
    </row>
    <row r="66" spans="1:34" x14ac:dyDescent="0.2">
      <c r="A66" s="42">
        <v>0.60416666666666496</v>
      </c>
      <c r="B66" s="3"/>
      <c r="L66" s="103">
        <v>40</v>
      </c>
      <c r="M6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45656</v>
      </c>
      <c r="N66" s="20" t="str">
        <f t="array" ref="N66">IFERROR(IF($N$2=$K$2,INDEX($Q:$Q,MATCH(M66,$S:$S,0)),IF($N$2=$K$3,INDEX(Q:Q,MATCH(M66,V:V,0)),IF($N$2=$K$4,INDEX(Q:Q,MATCH(M66,Y:Y,0)),IF($N$2=$K$5,INDEX(Q:Q,MATCH(M66,AB:AB,0)),IF($N$2=$K$6,INDEX(Q:Q,MATCH(M66,AE:AE,0))))))),"")</f>
        <v>Christmas Break</v>
      </c>
      <c r="O66" s="3"/>
      <c r="Q66" s="7"/>
      <c r="R66" s="220"/>
      <c r="S66" s="212"/>
      <c r="T66" s="209"/>
      <c r="U66" s="209"/>
      <c r="V66" s="210"/>
      <c r="W66" s="187"/>
      <c r="X66" s="185"/>
      <c r="Z66" s="172"/>
      <c r="AA66" s="171"/>
      <c r="AB66" s="183"/>
      <c r="AD66" s="168"/>
      <c r="AE66" s="158" t="str">
        <f t="shared" si="20"/>
        <v/>
      </c>
      <c r="AF66" s="1">
        <v>58</v>
      </c>
      <c r="AG66" s="1"/>
      <c r="AH66" s="1"/>
    </row>
    <row r="67" spans="1:34" x14ac:dyDescent="0.2">
      <c r="A67" s="42">
        <v>0.60763888888888795</v>
      </c>
      <c r="B67" s="3"/>
      <c r="L67" s="103">
        <v>41</v>
      </c>
      <c r="M6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45657</v>
      </c>
      <c r="N67" s="20" t="str">
        <f t="array" ref="N67">IFERROR(IF($N$2=$K$2,INDEX($Q:$Q,MATCH(M67,$S:$S,0)),IF($N$2=$K$3,INDEX(Q:Q,MATCH(M67,V:V,0)),IF($N$2=$K$4,INDEX(Q:Q,MATCH(M67,Y:Y,0)),IF($N$2=$K$5,INDEX(Q:Q,MATCH(M67,AB:AB,0)),IF($N$2=$K$6,INDEX(Q:Q,MATCH(M67,AE:AE,0))))))),"")</f>
        <v>Christmas Break</v>
      </c>
      <c r="O67" s="3"/>
      <c r="Q67" s="7"/>
      <c r="R67" s="220"/>
      <c r="S67" s="212"/>
      <c r="T67" s="209"/>
      <c r="U67" s="209"/>
      <c r="V67" s="210"/>
      <c r="W67" s="187"/>
      <c r="X67" s="185"/>
      <c r="Z67" s="172"/>
      <c r="AA67" s="171"/>
      <c r="AB67" s="183"/>
      <c r="AD67" s="168"/>
      <c r="AE67" s="158" t="str">
        <f t="shared" si="20"/>
        <v/>
      </c>
      <c r="AF67" s="3">
        <v>59</v>
      </c>
      <c r="AG67" s="1"/>
      <c r="AH67" s="1"/>
    </row>
    <row r="68" spans="1:34" x14ac:dyDescent="0.2">
      <c r="A68" s="42">
        <v>0.61111111111111005</v>
      </c>
      <c r="B68" s="3"/>
      <c r="L68" s="103">
        <v>42</v>
      </c>
      <c r="M6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45658</v>
      </c>
      <c r="N68" s="20" t="str">
        <f t="array" ref="N68">IFERROR(IF($N$2=$K$2,INDEX($Q:$Q,MATCH(M68,$S:$S,0)),IF($N$2=$K$3,INDEX(Q:Q,MATCH(M68,V:V,0)),IF($N$2=$K$4,INDEX(Q:Q,MATCH(M68,Y:Y,0)),IF($N$2=$K$5,INDEX(Q:Q,MATCH(M68,AB:AB,0)),IF($N$2=$K$6,INDEX(Q:Q,MATCH(M68,AE:AE,0))))))),"")</f>
        <v>Christmas Break</v>
      </c>
      <c r="O68" s="3"/>
      <c r="Q68" s="7"/>
      <c r="R68" s="220"/>
      <c r="S68" s="212"/>
      <c r="T68" s="209"/>
      <c r="U68" s="209"/>
      <c r="V68" s="210"/>
      <c r="W68" s="187"/>
      <c r="X68" s="185"/>
      <c r="Z68" s="172"/>
      <c r="AA68" s="171"/>
      <c r="AB68" s="183"/>
      <c r="AD68" s="168"/>
      <c r="AE68" s="158" t="str">
        <f t="shared" si="20"/>
        <v/>
      </c>
      <c r="AF68" s="1">
        <v>60</v>
      </c>
      <c r="AG68" s="1"/>
      <c r="AH68" s="1"/>
    </row>
    <row r="69" spans="1:34" x14ac:dyDescent="0.2">
      <c r="A69" s="42">
        <v>0.61458333333333204</v>
      </c>
      <c r="B69" s="3"/>
      <c r="L69" s="103">
        <v>43</v>
      </c>
      <c r="M6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69" s="20">
        <f t="array" ref="N69">IFERROR(IF($N$2=$K$2,INDEX($Q:$Q,MATCH(M69,$S:$S,0)),IF($N$2=$K$3,INDEX(Q:Q,MATCH(M69,V:V,0)),IF($N$2=$K$4,INDEX(Q:Q,MATCH(M69,Y:Y,0)),IF($N$2=$K$5,INDEX(Q:Q,MATCH(M69,AB:AB,0)),IF($N$2=$K$6,INDEX(Q:Q,MATCH(M69,AE:AE,0))))))),"")</f>
        <v>0</v>
      </c>
      <c r="O69" s="3"/>
      <c r="Q69" s="7"/>
      <c r="R69" s="220"/>
      <c r="S69" s="212"/>
      <c r="T69" s="209"/>
      <c r="U69" s="209"/>
      <c r="V69" s="210"/>
      <c r="W69" s="187"/>
      <c r="X69" s="185"/>
      <c r="Z69" s="172"/>
      <c r="AA69" s="171"/>
      <c r="AB69" s="183"/>
      <c r="AD69" s="168"/>
      <c r="AE69" s="158" t="str">
        <f t="shared" si="20"/>
        <v/>
      </c>
      <c r="AF69" s="3">
        <v>61</v>
      </c>
      <c r="AG69" s="1"/>
      <c r="AH69" s="1"/>
    </row>
    <row r="70" spans="1:34" x14ac:dyDescent="0.2">
      <c r="A70" s="42">
        <v>0.61805555555555403</v>
      </c>
      <c r="B70" s="3"/>
      <c r="L70" s="103">
        <v>44</v>
      </c>
      <c r="M7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0" s="20">
        <f t="array" ref="N70">IFERROR(IF($N$2=$K$2,INDEX($Q:$Q,MATCH(M70,$S:$S,0)),IF($N$2=$K$3,INDEX(Q:Q,MATCH(M70,V:V,0)),IF($N$2=$K$4,INDEX(Q:Q,MATCH(M70,Y:Y,0)),IF($N$2=$K$5,INDEX(Q:Q,MATCH(M70,AB:AB,0)),IF($N$2=$K$6,INDEX(Q:Q,MATCH(M70,AE:AE,0))))))),"")</f>
        <v>0</v>
      </c>
      <c r="O70" s="3"/>
      <c r="Q70" s="7"/>
      <c r="R70" s="220"/>
      <c r="S70" s="212"/>
      <c r="T70" s="209"/>
      <c r="U70" s="209"/>
      <c r="V70" s="210"/>
      <c r="W70" s="187"/>
      <c r="X70" s="185"/>
      <c r="Z70" s="172"/>
      <c r="AA70" s="171"/>
      <c r="AB70" s="183"/>
      <c r="AD70" s="168"/>
      <c r="AE70" s="158" t="str">
        <f t="shared" si="20"/>
        <v/>
      </c>
      <c r="AF70" s="1">
        <v>62</v>
      </c>
      <c r="AG70" s="1"/>
      <c r="AH70" s="1"/>
    </row>
    <row r="71" spans="1:34" x14ac:dyDescent="0.2">
      <c r="A71" s="42">
        <v>0.62152777777777601</v>
      </c>
      <c r="B71" s="3"/>
      <c r="L71" s="103">
        <v>45</v>
      </c>
      <c r="M7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1" s="20">
        <f t="array" ref="N71">IFERROR(IF($N$2=$K$2,INDEX($Q:$Q,MATCH(M71,$S:$S,0)),IF($N$2=$K$3,INDEX(Q:Q,MATCH(M71,V:V,0)),IF($N$2=$K$4,INDEX(Q:Q,MATCH(M71,Y:Y,0)),IF($N$2=$K$5,INDEX(Q:Q,MATCH(M71,AB:AB,0)),IF($N$2=$K$6,INDEX(Q:Q,MATCH(M71,AE:AE,0))))))),"")</f>
        <v>0</v>
      </c>
      <c r="O71" s="3"/>
      <c r="Q71" s="7"/>
      <c r="R71" s="220"/>
      <c r="S71" s="212"/>
      <c r="T71" s="209"/>
      <c r="U71" s="209"/>
      <c r="V71" s="210"/>
      <c r="W71" s="187"/>
      <c r="X71" s="185"/>
      <c r="Z71" s="172"/>
      <c r="AA71" s="171"/>
      <c r="AB71" s="183"/>
      <c r="AD71" s="168"/>
      <c r="AE71" s="158" t="str">
        <f t="shared" si="20"/>
        <v/>
      </c>
      <c r="AF71" s="3">
        <v>63</v>
      </c>
      <c r="AG71" s="1"/>
      <c r="AH71" s="1"/>
    </row>
    <row r="72" spans="1:34" x14ac:dyDescent="0.2">
      <c r="A72" s="42">
        <v>0.624999999999999</v>
      </c>
      <c r="B72" s="3"/>
      <c r="L72" s="103">
        <v>46</v>
      </c>
      <c r="M7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45740</v>
      </c>
      <c r="N72" s="20" t="str">
        <f t="array" ref="N72">IFERROR(IF($N$2=$K$2,INDEX($Q:$Q,MATCH(M72,$S:$S,0)),IF($N$2=$K$3,INDEX(Q:Q,MATCH(M72,V:V,0)),IF($N$2=$K$4,INDEX(Q:Q,MATCH(M72,Y:Y,0)),IF($N$2=$K$5,INDEX(Q:Q,MATCH(M72,AB:AB,0)),IF($N$2=$K$6,INDEX(Q:Q,MATCH(M72,AE:AE,0))))))),"")</f>
        <v>Spring Break</v>
      </c>
      <c r="O72" s="3"/>
      <c r="Q72" s="7"/>
      <c r="R72" s="220"/>
      <c r="S72" s="212"/>
      <c r="T72" s="209"/>
      <c r="U72" s="209"/>
      <c r="V72" s="210"/>
      <c r="W72" s="187"/>
      <c r="X72" s="185"/>
      <c r="Z72" s="172"/>
      <c r="AA72" s="171"/>
      <c r="AB72" s="183"/>
      <c r="AD72" s="168"/>
      <c r="AE72" s="158" t="str">
        <f t="shared" si="20"/>
        <v/>
      </c>
      <c r="AF72" s="1">
        <v>64</v>
      </c>
      <c r="AG72" s="1"/>
      <c r="AH72" s="1"/>
    </row>
    <row r="73" spans="1:34" x14ac:dyDescent="0.2">
      <c r="A73" s="42">
        <v>0.62847222222222099</v>
      </c>
      <c r="B73" s="3"/>
      <c r="L73" s="103">
        <v>47</v>
      </c>
      <c r="M7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3" s="20">
        <f t="array" ref="N73">IFERROR(IF($N$2=$K$2,INDEX($Q:$Q,MATCH(M73,$S:$S,0)),IF($N$2=$K$3,INDEX(Q:Q,MATCH(M73,V:V,0)),IF($N$2=$K$4,INDEX(Q:Q,MATCH(M73,Y:Y,0)),IF($N$2=$K$5,INDEX(Q:Q,MATCH(M73,AB:AB,0)),IF($N$2=$K$6,INDEX(Q:Q,MATCH(M73,AE:AE,0))))))),"")</f>
        <v>0</v>
      </c>
      <c r="O73" s="3"/>
      <c r="Q73" s="7"/>
      <c r="R73" s="220"/>
      <c r="S73" s="212"/>
      <c r="T73" s="209"/>
      <c r="U73" s="209"/>
      <c r="V73" s="210"/>
      <c r="W73" s="187"/>
      <c r="X73" s="185"/>
      <c r="Z73" s="172"/>
      <c r="AA73" s="171"/>
      <c r="AB73" s="183"/>
      <c r="AD73" s="168"/>
      <c r="AE73" s="158" t="str">
        <f t="shared" si="20"/>
        <v/>
      </c>
      <c r="AF73" s="3">
        <v>65</v>
      </c>
      <c r="AG73" s="1"/>
      <c r="AH73" s="1"/>
    </row>
    <row r="74" spans="1:34" x14ac:dyDescent="0.2">
      <c r="A74" s="42">
        <v>0.63194444444444298</v>
      </c>
      <c r="B74" s="3"/>
      <c r="L74" s="103">
        <v>48</v>
      </c>
      <c r="M7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45742</v>
      </c>
      <c r="N74" s="20" t="str">
        <f t="array" ref="N74">IFERROR(IF($N$2=$K$2,INDEX($Q:$Q,MATCH(M74,$S:$S,0)),IF($N$2=$K$3,INDEX(Q:Q,MATCH(M74,V:V,0)),IF($N$2=$K$4,INDEX(Q:Q,MATCH(M74,Y:Y,0)),IF($N$2=$K$5,INDEX(Q:Q,MATCH(M74,AB:AB,0)),IF($N$2=$K$6,INDEX(Q:Q,MATCH(M74,AE:AE,0))))))),"")</f>
        <v>Spring Break</v>
      </c>
      <c r="O74" s="3"/>
      <c r="Q74" s="7"/>
      <c r="R74" s="220"/>
      <c r="S74" s="212"/>
      <c r="T74" s="209"/>
      <c r="U74" s="209"/>
      <c r="V74" s="210"/>
      <c r="W74" s="187"/>
      <c r="X74" s="185"/>
      <c r="Z74" s="172"/>
      <c r="AA74" s="171"/>
      <c r="AB74" s="183"/>
      <c r="AD74" s="168"/>
      <c r="AE74" s="158" t="str">
        <f t="shared" si="20"/>
        <v/>
      </c>
      <c r="AF74" s="1">
        <v>66</v>
      </c>
      <c r="AG74" s="1"/>
      <c r="AH74" s="1"/>
    </row>
    <row r="75" spans="1:34" x14ac:dyDescent="0.2">
      <c r="A75" s="42">
        <v>0.63541666666666496</v>
      </c>
      <c r="B75" s="3"/>
      <c r="L75" s="103">
        <v>49</v>
      </c>
      <c r="M7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45743</v>
      </c>
      <c r="N75" s="20" t="str">
        <f t="array" ref="N75">IFERROR(IF($N$2=$K$2,INDEX($Q:$Q,MATCH(M75,$S:$S,0)),IF($N$2=$K$3,INDEX(Q:Q,MATCH(M75,V:V,0)),IF($N$2=$K$4,INDEX(Q:Q,MATCH(M75,Y:Y,0)),IF($N$2=$K$5,INDEX(Q:Q,MATCH(M75,AB:AB,0)),IF($N$2=$K$6,INDEX(Q:Q,MATCH(M75,AE:AE,0))))))),"")</f>
        <v>Spring Break</v>
      </c>
      <c r="O75" s="3"/>
      <c r="Q75" s="7"/>
      <c r="R75" s="220"/>
      <c r="S75" s="212"/>
      <c r="T75" s="209"/>
      <c r="U75" s="209"/>
      <c r="V75" s="210"/>
      <c r="W75" s="187"/>
      <c r="X75" s="185"/>
      <c r="Z75" s="172"/>
      <c r="AA75" s="171"/>
      <c r="AB75" s="183"/>
      <c r="AD75" s="168"/>
      <c r="AE75" s="158" t="str">
        <f t="shared" ref="AE75:AE81" si="45">IF(AC75="","",AC75)</f>
        <v/>
      </c>
      <c r="AF75" s="3">
        <v>67</v>
      </c>
      <c r="AG75" s="1"/>
      <c r="AH75" s="1"/>
    </row>
    <row r="76" spans="1:34" x14ac:dyDescent="0.2">
      <c r="A76" s="42">
        <v>0.63888888888888795</v>
      </c>
      <c r="B76" s="3"/>
      <c r="L76" s="103">
        <v>50</v>
      </c>
      <c r="M7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45744</v>
      </c>
      <c r="N76" s="20" t="str">
        <f t="array" ref="N76">IFERROR(IF($N$2=$K$2,INDEX($Q:$Q,MATCH(M76,$S:$S,0)),IF($N$2=$K$3,INDEX(Q:Q,MATCH(M76,V:V,0)),IF($N$2=$K$4,INDEX(Q:Q,MATCH(M76,Y:Y,0)),IF($N$2=$K$5,INDEX(Q:Q,MATCH(M76,AB:AB,0)),IF($N$2=$K$6,INDEX(Q:Q,MATCH(M76,AE:AE,0))))))),"")</f>
        <v>Spring Break</v>
      </c>
      <c r="O76" s="3"/>
      <c r="Q76" s="7"/>
      <c r="R76" s="220"/>
      <c r="S76" s="212"/>
      <c r="T76" s="209"/>
      <c r="U76" s="209"/>
      <c r="V76" s="210"/>
      <c r="W76" s="187"/>
      <c r="X76" s="185"/>
      <c r="Z76" s="172"/>
      <c r="AA76" s="171"/>
      <c r="AB76" s="183"/>
      <c r="AD76" s="168"/>
      <c r="AE76" s="158" t="str">
        <f t="shared" si="45"/>
        <v/>
      </c>
      <c r="AF76" s="1">
        <v>68</v>
      </c>
      <c r="AG76" s="1"/>
      <c r="AH76" s="1"/>
    </row>
    <row r="77" spans="1:34" x14ac:dyDescent="0.2">
      <c r="A77" s="42">
        <v>0.64236111111111005</v>
      </c>
      <c r="B77" s="3"/>
      <c r="L77" s="103">
        <v>51</v>
      </c>
      <c r="M7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77" s="20">
        <f t="array" ref="N77">IFERROR(IF($N$2=$K$2,INDEX($Q:$Q,MATCH(M77,$S:$S,0)),IF($N$2=$K$3,INDEX(Q:Q,MATCH(M77,V:V,0)),IF($N$2=$K$4,INDEX(Q:Q,MATCH(M77,Y:Y,0)),IF($N$2=$K$5,INDEX(Q:Q,MATCH(M77,AB:AB,0)),IF($N$2=$K$6,INDEX(Q:Q,MATCH(M77,AE:AE,0))))))),"")</f>
        <v>0</v>
      </c>
      <c r="O77" s="3"/>
      <c r="Q77" s="7"/>
      <c r="R77" s="220"/>
      <c r="S77" s="212"/>
      <c r="T77" s="209"/>
      <c r="U77" s="209"/>
      <c r="V77" s="210"/>
      <c r="W77" s="187"/>
      <c r="X77" s="185"/>
      <c r="Z77" s="172"/>
      <c r="AA77" s="171"/>
      <c r="AB77" s="183"/>
      <c r="AD77" s="168"/>
      <c r="AE77" s="158" t="str">
        <f t="shared" si="45"/>
        <v/>
      </c>
      <c r="AF77" s="3">
        <v>69</v>
      </c>
      <c r="AG77" s="1"/>
      <c r="AH77" s="1"/>
    </row>
    <row r="78" spans="1:34" x14ac:dyDescent="0.2">
      <c r="A78" s="42">
        <v>0.64583333333333204</v>
      </c>
      <c r="B78" s="3"/>
      <c r="L78" s="103">
        <v>52</v>
      </c>
      <c r="M7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45812</v>
      </c>
      <c r="N78" s="20" t="str">
        <f t="array" ref="N78">IFERROR(IF($N$2=$K$2,INDEX($Q:$Q,MATCH(M78,$S:$S,0)),IF($N$2=$K$3,INDEX(Q:Q,MATCH(M78,V:V,0)),IF($N$2=$K$4,INDEX(Q:Q,MATCH(M78,Y:Y,0)),IF($N$2=$K$5,INDEX(Q:Q,MATCH(M78,AB:AB,0)),IF($N$2=$K$6,INDEX(Q:Q,MATCH(M78,AE:AE,0))))))),"")</f>
        <v>Last Day of School</v>
      </c>
      <c r="O78" s="3"/>
      <c r="Q78" s="7"/>
      <c r="R78" s="220"/>
      <c r="S78" s="212"/>
      <c r="T78" s="209"/>
      <c r="U78" s="209"/>
      <c r="V78" s="210"/>
      <c r="W78" s="187"/>
      <c r="X78" s="185"/>
      <c r="Z78" s="172"/>
      <c r="AA78" s="171"/>
      <c r="AB78" s="183"/>
      <c r="AD78" s="168"/>
      <c r="AE78" s="158" t="str">
        <f t="shared" si="45"/>
        <v/>
      </c>
      <c r="AF78" s="1">
        <v>70</v>
      </c>
      <c r="AG78" s="1"/>
      <c r="AH78" s="1"/>
    </row>
    <row r="79" spans="1:34" x14ac:dyDescent="0.2">
      <c r="A79" s="42">
        <v>0.64930555555555403</v>
      </c>
      <c r="B79" s="3"/>
      <c r="L79" s="103">
        <v>53</v>
      </c>
      <c r="M7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79" s="20" t="str">
        <f t="array" ref="N79">IFERROR(IF($N$2=$K$2,INDEX($Q:$Q,MATCH(M79,$S:$S,0)),IF($N$2=$K$3,INDEX(Q:Q,MATCH(M79,V:V,0)),IF($N$2=$K$4,INDEX(Q:Q,MATCH(M79,Y:Y,0)),IF($N$2=$K$5,INDEX(Q:Q,MATCH(M79,AB:AB,0)),IF($N$2=$K$6,INDEX(Q:Q,MATCH(M79,AE:AE,0))))))),"")</f>
        <v/>
      </c>
      <c r="O79" s="3"/>
      <c r="Q79" s="7"/>
      <c r="R79" s="220"/>
      <c r="S79" s="212"/>
      <c r="T79" s="209"/>
      <c r="U79" s="209"/>
      <c r="V79" s="210"/>
      <c r="W79" s="187"/>
      <c r="X79" s="185"/>
      <c r="Z79" s="172"/>
      <c r="AA79" s="171"/>
      <c r="AB79" s="183"/>
      <c r="AD79" s="168"/>
      <c r="AE79" s="158" t="str">
        <f t="shared" si="45"/>
        <v/>
      </c>
      <c r="AF79" s="3">
        <v>71</v>
      </c>
      <c r="AG79" s="1"/>
      <c r="AH79" s="1"/>
    </row>
    <row r="80" spans="1:34" x14ac:dyDescent="0.2">
      <c r="A80" s="42">
        <v>0.65277777777777601</v>
      </c>
      <c r="B80" s="3"/>
      <c r="L80" s="103">
        <v>54</v>
      </c>
      <c r="M8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0" s="20" t="str">
        <f t="array" ref="N80">IFERROR(IF($N$2=$K$2,INDEX($Q:$Q,MATCH(M80,$S:$S,0)),IF($N$2=$K$3,INDEX(Q:Q,MATCH(M80,V:V,0)),IF($N$2=$K$4,INDEX(Q:Q,MATCH(M80,Y:Y,0)),IF($N$2=$K$5,INDEX(Q:Q,MATCH(M80,AB:AB,0)),IF($N$2=$K$6,INDEX(Q:Q,MATCH(M80,AE:AE,0))))))),"")</f>
        <v/>
      </c>
      <c r="O80" s="3"/>
      <c r="Q80" s="7"/>
      <c r="R80" s="220"/>
      <c r="S80" s="212"/>
      <c r="T80" s="209"/>
      <c r="U80" s="209"/>
      <c r="V80" s="210"/>
      <c r="W80" s="187"/>
      <c r="X80" s="185"/>
      <c r="Z80" s="172"/>
      <c r="AA80" s="171"/>
      <c r="AB80" s="183"/>
      <c r="AD80" s="168"/>
      <c r="AE80" s="158" t="str">
        <f t="shared" si="45"/>
        <v/>
      </c>
      <c r="AF80" s="1">
        <v>72</v>
      </c>
      <c r="AG80" s="1"/>
      <c r="AH80" s="1"/>
    </row>
    <row r="81" spans="1:34" x14ac:dyDescent="0.2">
      <c r="A81" s="42">
        <v>0.656249999999999</v>
      </c>
      <c r="B81" s="3"/>
      <c r="L81" s="103">
        <v>55</v>
      </c>
      <c r="M8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1" s="20" t="str">
        <f t="array" ref="N81">IFERROR(IF($N$2=$K$2,INDEX($Q:$Q,MATCH(M81,$S:$S,0)),IF($N$2=$K$3,INDEX(Q:Q,MATCH(M81,V:V,0)),IF($N$2=$K$4,INDEX(Q:Q,MATCH(M81,Y:Y,0)),IF($N$2=$K$5,INDEX(Q:Q,MATCH(M81,AB:AB,0)),IF($N$2=$K$6,INDEX(Q:Q,MATCH(M81,AE:AE,0))))))),"")</f>
        <v/>
      </c>
      <c r="O81" s="3"/>
      <c r="Q81" s="7"/>
      <c r="R81" s="220"/>
      <c r="S81" s="212"/>
      <c r="T81" s="209"/>
      <c r="U81" s="209"/>
      <c r="V81" s="210"/>
      <c r="W81" s="187"/>
      <c r="X81" s="185"/>
      <c r="Z81" s="172"/>
      <c r="AA81" s="171"/>
      <c r="AB81" s="183"/>
      <c r="AD81" s="168"/>
      <c r="AE81" s="158" t="str">
        <f t="shared" si="45"/>
        <v/>
      </c>
      <c r="AF81" s="3">
        <v>73</v>
      </c>
      <c r="AG81" s="1"/>
      <c r="AH81" s="1"/>
    </row>
    <row r="82" spans="1:34" x14ac:dyDescent="0.2">
      <c r="A82" s="42">
        <v>0.65972222222222099</v>
      </c>
      <c r="B82" s="3"/>
      <c r="L82" s="103">
        <v>56</v>
      </c>
      <c r="M8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2" s="20" t="str">
        <f t="array" ref="N82">IFERROR(IF($N$2=$K$2,INDEX($Q:$Q,MATCH(M82,$S:$S,0)),IF($N$2=$K$3,INDEX(Q:Q,MATCH(M82,V:V,0)),IF($N$2=$K$4,INDEX(Q:Q,MATCH(M82,Y:Y,0)),IF($N$2=$K$5,INDEX(Q:Q,MATCH(M82,AB:AB,0)),IF($N$2=$K$6,INDEX(Q:Q,MATCH(M82,AE:AE,0))))))),"")</f>
        <v/>
      </c>
      <c r="O82" s="3"/>
      <c r="S82" s="169"/>
      <c r="T82" s="199"/>
      <c r="U82" s="209"/>
      <c r="V82" s="210"/>
      <c r="W82" s="185"/>
      <c r="X82" s="185"/>
      <c r="Z82" s="171"/>
      <c r="AA82" s="171"/>
      <c r="AB82" s="183"/>
      <c r="AD82" s="168"/>
      <c r="AE82" s="168"/>
      <c r="AF82" s="1"/>
      <c r="AG82" s="1"/>
      <c r="AH82" s="1"/>
    </row>
    <row r="83" spans="1:34" x14ac:dyDescent="0.2">
      <c r="A83" s="42">
        <v>0.66319444444444298</v>
      </c>
      <c r="B83" s="3"/>
      <c r="L83" s="103">
        <v>57</v>
      </c>
      <c r="M8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3" s="20" t="str">
        <f t="array" ref="N83">IFERROR(IF($N$2=$K$2,INDEX($Q:$Q,MATCH(M83,$S:$S,0)),IF($N$2=$K$3,INDEX(Q:Q,MATCH(M83,V:V,0)),IF($N$2=$K$4,INDEX(Q:Q,MATCH(M83,Y:Y,0)),IF($N$2=$K$5,INDEX(Q:Q,MATCH(M83,AB:AB,0)),IF($N$2=$K$6,INDEX(Q:Q,MATCH(M83,AE:AE,0))))))),"")</f>
        <v/>
      </c>
      <c r="O83" s="3"/>
      <c r="S83" s="169"/>
      <c r="T83" s="199"/>
      <c r="U83" s="209"/>
      <c r="V83" s="210"/>
      <c r="W83" s="185"/>
      <c r="X83" s="185"/>
      <c r="Z83" s="171"/>
      <c r="AA83" s="171"/>
      <c r="AB83" s="183"/>
      <c r="AD83" s="168"/>
      <c r="AE83" s="168"/>
      <c r="AF83" s="1"/>
      <c r="AG83" s="1"/>
      <c r="AH83" s="1"/>
    </row>
    <row r="84" spans="1:34" x14ac:dyDescent="0.2">
      <c r="A84" s="42">
        <v>0.66666666666666496</v>
      </c>
      <c r="B84" s="3"/>
      <c r="L84" s="103">
        <v>58</v>
      </c>
      <c r="M8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4" s="20" t="str">
        <f t="array" ref="N84">IFERROR(IF($N$2=$K$2,INDEX($Q:$Q,MATCH(M84,$S:$S,0)),IF($N$2=$K$3,INDEX(Q:Q,MATCH(M84,V:V,0)),IF($N$2=$K$4,INDEX(Q:Q,MATCH(M84,Y:Y,0)),IF($N$2=$K$5,INDEX(Q:Q,MATCH(M84,AB:AB,0)),IF($N$2=$K$6,INDEX(Q:Q,MATCH(M84,AE:AE,0))))))),"")</f>
        <v/>
      </c>
      <c r="O84" s="3"/>
      <c r="S84" s="169"/>
      <c r="T84" s="199"/>
      <c r="U84" s="209"/>
      <c r="V84" s="210"/>
      <c r="W84" s="185"/>
      <c r="X84" s="185"/>
      <c r="Z84" s="171"/>
      <c r="AA84" s="171"/>
      <c r="AB84" s="183"/>
      <c r="AD84" s="168"/>
      <c r="AE84" s="168"/>
      <c r="AF84" s="1"/>
      <c r="AG84" s="1"/>
      <c r="AH84" s="1"/>
    </row>
    <row r="85" spans="1:34" x14ac:dyDescent="0.2">
      <c r="A85" s="42">
        <v>0.67013888888888695</v>
      </c>
      <c r="B85" s="3"/>
      <c r="L85" s="103">
        <v>59</v>
      </c>
      <c r="M8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5" s="20" t="str">
        <f t="array" ref="N85">IFERROR(IF($N$2=$K$2,INDEX($Q:$Q,MATCH(M85,$S:$S,0)),IF($N$2=$K$3,INDEX(Q:Q,MATCH(M85,V:V,0)),IF($N$2=$K$4,INDEX(Q:Q,MATCH(M85,Y:Y,0)),IF($N$2=$K$5,INDEX(Q:Q,MATCH(M85,AB:AB,0)),IF($N$2=$K$6,INDEX(Q:Q,MATCH(M85,AE:AE,0))))))),"")</f>
        <v/>
      </c>
      <c r="O85" s="3"/>
      <c r="S85" s="169"/>
      <c r="T85" s="199"/>
      <c r="U85" s="209"/>
      <c r="V85" s="210"/>
      <c r="W85" s="185"/>
      <c r="X85" s="185"/>
      <c r="Z85" s="171"/>
      <c r="AA85" s="171"/>
      <c r="AB85" s="183"/>
      <c r="AD85" s="168"/>
      <c r="AE85" s="168"/>
      <c r="AF85" s="1"/>
      <c r="AG85" s="1"/>
      <c r="AH85" s="1"/>
    </row>
    <row r="86" spans="1:34" x14ac:dyDescent="0.2">
      <c r="A86" s="42">
        <v>0.67361111111111005</v>
      </c>
      <c r="B86" s="3"/>
      <c r="L86" s="103">
        <v>60</v>
      </c>
      <c r="M8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6" s="20" t="str">
        <f t="array" ref="N86">IFERROR(IF($N$2=$K$2,INDEX($Q:$Q,MATCH(M86,$S:$S,0)),IF($N$2=$K$3,INDEX(Q:Q,MATCH(M86,V:V,0)),IF($N$2=$K$4,INDEX(Q:Q,MATCH(M86,Y:Y,0)),IF($N$2=$K$5,INDEX(Q:Q,MATCH(M86,AB:AB,0)),IF($N$2=$K$6,INDEX(Q:Q,MATCH(M86,AE:AE,0))))))),"")</f>
        <v/>
      </c>
      <c r="O86" s="3"/>
      <c r="S86" s="169"/>
      <c r="T86" s="199"/>
      <c r="U86" s="209"/>
      <c r="V86" s="210"/>
      <c r="W86" s="185"/>
      <c r="X86" s="185"/>
      <c r="Z86" s="171"/>
      <c r="AA86" s="171"/>
      <c r="AB86" s="183"/>
      <c r="AD86" s="168"/>
      <c r="AE86" s="168"/>
      <c r="AF86" s="1"/>
      <c r="AG86" s="1"/>
      <c r="AH86" s="1"/>
    </row>
    <row r="87" spans="1:34" x14ac:dyDescent="0.2">
      <c r="A87" s="42">
        <v>0.67708333333333204</v>
      </c>
      <c r="B87" s="3"/>
      <c r="L87" s="103">
        <v>61</v>
      </c>
      <c r="M8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7" s="20" t="str">
        <f t="array" ref="N87">IFERROR(IF($N$2=$K$2,INDEX($Q:$Q,MATCH(M87,$S:$S,0)),IF($N$2=$K$3,INDEX(Q:Q,MATCH(M87,V:V,0)),IF($N$2=$K$4,INDEX(Q:Q,MATCH(M87,Y:Y,0)),IF($N$2=$K$5,INDEX(Q:Q,MATCH(M87,AB:AB,0)),IF($N$2=$K$6,INDEX(Q:Q,MATCH(M87,AE:AE,0))))))),"")</f>
        <v/>
      </c>
      <c r="O87" s="3"/>
      <c r="S87" s="169"/>
      <c r="T87" s="199"/>
      <c r="U87" s="209"/>
      <c r="V87" s="210"/>
      <c r="W87" s="185"/>
      <c r="X87" s="185"/>
      <c r="Z87" s="171"/>
      <c r="AA87" s="171"/>
      <c r="AB87" s="183"/>
      <c r="AD87" s="168"/>
      <c r="AE87" s="168"/>
      <c r="AF87" s="1"/>
      <c r="AG87" s="1"/>
      <c r="AH87" s="1"/>
    </row>
    <row r="88" spans="1:34" x14ac:dyDescent="0.2">
      <c r="A88" s="42">
        <v>0.68055555555555403</v>
      </c>
      <c r="B88" s="3"/>
      <c r="L88" s="103">
        <v>62</v>
      </c>
      <c r="M8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8" s="20" t="str">
        <f t="array" ref="N88">IFERROR(IF($N$2=$K$2,INDEX($Q:$Q,MATCH(M88,$S:$S,0)),IF($N$2=$K$3,INDEX(Q:Q,MATCH(M88,V:V,0)),IF($N$2=$K$4,INDEX(Q:Q,MATCH(M88,Y:Y,0)),IF($N$2=$K$5,INDEX(Q:Q,MATCH(M88,AB:AB,0)),IF($N$2=$K$6,INDEX(Q:Q,MATCH(M88,AE:AE,0))))))),"")</f>
        <v/>
      </c>
      <c r="O88" s="3"/>
      <c r="S88" s="169"/>
      <c r="T88" s="199"/>
      <c r="U88" s="209"/>
      <c r="V88" s="210"/>
      <c r="W88" s="185"/>
      <c r="X88" s="185"/>
      <c r="Z88" s="171"/>
      <c r="AA88" s="171"/>
      <c r="AB88" s="183"/>
      <c r="AD88" s="168"/>
      <c r="AE88" s="168"/>
      <c r="AF88" s="1"/>
      <c r="AG88" s="1"/>
      <c r="AH88" s="1"/>
    </row>
    <row r="89" spans="1:34" x14ac:dyDescent="0.2">
      <c r="A89" s="42">
        <v>0.68402777777777601</v>
      </c>
      <c r="B89" s="3"/>
      <c r="L89" s="103">
        <v>63</v>
      </c>
      <c r="M8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89" s="20" t="str">
        <f t="array" ref="N89">IFERROR(IF($N$2=$K$2,INDEX($Q:$Q,MATCH(M89,$S:$S,0)),IF($N$2=$K$3,INDEX(Q:Q,MATCH(M89,V:V,0)),IF($N$2=$K$4,INDEX(Q:Q,MATCH(M89,Y:Y,0)),IF($N$2=$K$5,INDEX(Q:Q,MATCH(M89,AB:AB,0)),IF($N$2=$K$6,INDEX(Q:Q,MATCH(M89,AE:AE,0))))))),"")</f>
        <v/>
      </c>
      <c r="O89" s="3"/>
      <c r="S89" s="169"/>
      <c r="T89" s="199"/>
      <c r="U89" s="209"/>
      <c r="V89" s="210"/>
      <c r="W89" s="185"/>
      <c r="X89" s="185"/>
      <c r="Z89" s="171"/>
      <c r="AA89" s="171"/>
      <c r="AB89" s="183"/>
      <c r="AD89" s="168"/>
      <c r="AE89" s="168"/>
      <c r="AF89" s="1"/>
      <c r="AG89" s="1"/>
      <c r="AH89" s="1"/>
    </row>
    <row r="90" spans="1:34" x14ac:dyDescent="0.2">
      <c r="A90" s="42">
        <v>0.687499999999998</v>
      </c>
      <c r="B90" s="3"/>
      <c r="L90" s="103">
        <v>64</v>
      </c>
      <c r="M90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0" s="20" t="str">
        <f t="array" ref="N90">IFERROR(IF($N$2=$K$2,INDEX($Q:$Q,MATCH(M90,$S:$S,0)),IF($N$2=$K$3,INDEX(Q:Q,MATCH(M90,V:V,0)),IF($N$2=$K$4,INDEX(Q:Q,MATCH(M90,Y:Y,0)),IF($N$2=$K$5,INDEX(Q:Q,MATCH(M90,AB:AB,0)),IF($N$2=$K$6,INDEX(Q:Q,MATCH(M90,AE:AE,0))))))),"")</f>
        <v/>
      </c>
      <c r="O90" s="3"/>
      <c r="S90" s="169"/>
      <c r="T90" s="199"/>
      <c r="U90" s="209"/>
      <c r="V90" s="210"/>
      <c r="W90" s="185"/>
      <c r="X90" s="185"/>
      <c r="Z90" s="171"/>
      <c r="AA90" s="171"/>
      <c r="AB90" s="183"/>
      <c r="AD90" s="168"/>
      <c r="AE90" s="168"/>
      <c r="AF90" s="1"/>
      <c r="AG90" s="1"/>
      <c r="AH90" s="1"/>
    </row>
    <row r="91" spans="1:34" x14ac:dyDescent="0.2">
      <c r="A91" s="42">
        <v>0.69097222222222099</v>
      </c>
      <c r="B91" s="3"/>
      <c r="L91" s="103">
        <v>65</v>
      </c>
      <c r="M91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1" s="20" t="str">
        <f t="array" ref="N91">IFERROR(IF($N$2=$K$2,INDEX($Q:$Q,MATCH(M91,$S:$S,0)),IF($N$2=$K$3,INDEX(Q:Q,MATCH(M91,V:V,0)),IF($N$2=$K$4,INDEX(Q:Q,MATCH(M91,Y:Y,0)),IF($N$2=$K$5,INDEX(Q:Q,MATCH(M91,AB:AB,0)),IF($N$2=$K$6,INDEX(Q:Q,MATCH(M91,AE:AE,0))))))),"")</f>
        <v/>
      </c>
      <c r="O91" s="3"/>
      <c r="S91" s="169"/>
      <c r="T91" s="199"/>
      <c r="U91" s="209"/>
      <c r="V91" s="210"/>
      <c r="W91" s="185"/>
      <c r="X91" s="185"/>
      <c r="Z91" s="171"/>
      <c r="AA91" s="171"/>
      <c r="AB91" s="183"/>
      <c r="AD91" s="168"/>
      <c r="AE91" s="168"/>
      <c r="AF91" s="1"/>
      <c r="AG91" s="1"/>
      <c r="AH91" s="1"/>
    </row>
    <row r="92" spans="1:34" x14ac:dyDescent="0.2">
      <c r="A92" s="42">
        <v>0.69444444444444298</v>
      </c>
      <c r="B92" s="3"/>
      <c r="L92" s="103">
        <v>66</v>
      </c>
      <c r="M92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2" s="20" t="str">
        <f t="array" ref="N92">IFERROR(IF($N$2=$K$2,INDEX($Q:$Q,MATCH(M92,$S:$S,0)),IF($N$2=$K$3,INDEX(Q:Q,MATCH(M92,V:V,0)),IF($N$2=$K$4,INDEX(Q:Q,MATCH(M92,Y:Y,0)),IF($N$2=$K$5,INDEX(Q:Q,MATCH(M92,AB:AB,0)),IF($N$2=$K$6,INDEX(Q:Q,MATCH(M92,AE:AE,0))))))),"")</f>
        <v/>
      </c>
      <c r="O92" s="3"/>
      <c r="S92" s="169"/>
      <c r="T92" s="199"/>
      <c r="U92" s="209"/>
      <c r="V92" s="210"/>
      <c r="W92" s="185"/>
      <c r="X92" s="185"/>
      <c r="Z92" s="171"/>
      <c r="AA92" s="171"/>
      <c r="AB92" s="183"/>
      <c r="AD92" s="168"/>
      <c r="AE92" s="168"/>
      <c r="AF92" s="1"/>
      <c r="AG92" s="1"/>
      <c r="AH92" s="1"/>
    </row>
    <row r="93" spans="1:34" x14ac:dyDescent="0.2">
      <c r="A93" s="42">
        <v>0.69791666666666496</v>
      </c>
      <c r="B93" s="3"/>
      <c r="L93" s="103">
        <v>67</v>
      </c>
      <c r="M93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3" s="20" t="str">
        <f t="array" ref="N93">IFERROR(IF($N$2=$K$2,INDEX($Q:$Q,MATCH(M93,$S:$S,0)),IF($N$2=$K$3,INDEX(Q:Q,MATCH(M93,V:V,0)),IF($N$2=$K$4,INDEX(Q:Q,MATCH(M93,Y:Y,0)),IF($N$2=$K$5,INDEX(Q:Q,MATCH(M93,AB:AB,0)),IF($N$2=$K$6,INDEX(Q:Q,MATCH(M93,AE:AE,0))))))),"")</f>
        <v/>
      </c>
      <c r="O93" s="3"/>
      <c r="S93" s="169"/>
      <c r="T93" s="199"/>
      <c r="U93" s="209"/>
      <c r="V93" s="210"/>
      <c r="W93" s="185"/>
      <c r="X93" s="185"/>
      <c r="Z93" s="171"/>
      <c r="AA93" s="171"/>
      <c r="AB93" s="183"/>
      <c r="AD93" s="168"/>
      <c r="AE93" s="168"/>
      <c r="AF93" s="1"/>
      <c r="AG93" s="1"/>
      <c r="AH93" s="1"/>
    </row>
    <row r="94" spans="1:34" x14ac:dyDescent="0.2">
      <c r="A94" s="42">
        <v>0.70138888888888695</v>
      </c>
      <c r="B94" s="3"/>
      <c r="L94" s="103">
        <v>68</v>
      </c>
      <c r="M94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4" s="20" t="str">
        <f t="array" ref="N94">IFERROR(IF($N$2=$K$2,INDEX($Q:$Q,MATCH(M94,$S:$S,0)),IF($N$2=$K$3,INDEX(Q:Q,MATCH(M94,V:V,0)),IF($N$2=$K$4,INDEX(Q:Q,MATCH(M94,Y:Y,0)),IF($N$2=$K$5,INDEX(Q:Q,MATCH(M94,AB:AB,0)),IF($N$2=$K$6,INDEX(Q:Q,MATCH(M94,AE:AE,0))))))),"")</f>
        <v/>
      </c>
      <c r="O94" s="3"/>
      <c r="S94" s="169"/>
      <c r="T94" s="199"/>
      <c r="U94" s="209"/>
      <c r="V94" s="210"/>
      <c r="W94" s="185"/>
      <c r="X94" s="185"/>
      <c r="Z94" s="171"/>
      <c r="AA94" s="171"/>
      <c r="AB94" s="183"/>
      <c r="AD94" s="168"/>
      <c r="AE94" s="168"/>
      <c r="AF94" s="1"/>
      <c r="AG94" s="1"/>
      <c r="AH94" s="1"/>
    </row>
    <row r="95" spans="1:34" x14ac:dyDescent="0.2">
      <c r="A95" s="42">
        <v>0.70486111111110905</v>
      </c>
      <c r="B95" s="3"/>
      <c r="L95" s="103">
        <v>69</v>
      </c>
      <c r="M95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5" s="20" t="str">
        <f t="array" ref="N95">IFERROR(IF($N$2=$K$2,INDEX($Q:$Q,MATCH(M95,$S:$S,0)),IF($N$2=$K$3,INDEX(Q:Q,MATCH(M95,V:V,0)),IF($N$2=$K$4,INDEX(Q:Q,MATCH(M95,Y:Y,0)),IF($N$2=$K$5,INDEX(Q:Q,MATCH(M95,AB:AB,0)),IF($N$2=$K$6,INDEX(Q:Q,MATCH(M95,AE:AE,0))))))),"")</f>
        <v/>
      </c>
      <c r="O95" s="3"/>
      <c r="S95" s="169"/>
      <c r="T95" s="199"/>
      <c r="U95" s="209"/>
      <c r="V95" s="210"/>
      <c r="W95" s="185"/>
      <c r="X95" s="185"/>
      <c r="Z95" s="171"/>
      <c r="AA95" s="171"/>
      <c r="AB95" s="183"/>
      <c r="AD95" s="168"/>
      <c r="AE95" s="168"/>
      <c r="AF95" s="1"/>
      <c r="AG95" s="1"/>
      <c r="AH95" s="1"/>
    </row>
    <row r="96" spans="1:34" x14ac:dyDescent="0.2">
      <c r="A96" s="42">
        <v>0.70833333333333204</v>
      </c>
      <c r="B96" s="3"/>
      <c r="L96" s="103">
        <v>70</v>
      </c>
      <c r="M96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6" s="20" t="str">
        <f t="array" ref="N96">IFERROR(IF($N$2=$K$2,INDEX($Q:$Q,MATCH(M96,$S:$S,0)),IF($N$2=$K$3,INDEX(Q:Q,MATCH(M96,V:V,0)),IF($N$2=$K$4,INDEX(Q:Q,MATCH(M96,Y:Y,0)),IF($N$2=$K$5,INDEX(Q:Q,MATCH(M96,AB:AB,0)),IF($N$2=$K$6,INDEX(Q:Q,MATCH(M96,AE:AE,0))))))),"")</f>
        <v/>
      </c>
      <c r="O96" s="3"/>
      <c r="S96" s="169"/>
      <c r="T96" s="199"/>
      <c r="U96" s="209"/>
      <c r="V96" s="210"/>
      <c r="W96" s="185"/>
      <c r="X96" s="185"/>
      <c r="Z96" s="171"/>
      <c r="AA96" s="171"/>
      <c r="AB96" s="183"/>
      <c r="AD96" s="168"/>
      <c r="AE96" s="168"/>
      <c r="AF96" s="1"/>
      <c r="AG96" s="1"/>
      <c r="AH96" s="1"/>
    </row>
    <row r="97" spans="1:35" x14ac:dyDescent="0.2">
      <c r="A97" s="42">
        <v>0.71180555555555403</v>
      </c>
      <c r="B97" s="3"/>
      <c r="L97" s="103">
        <v>71</v>
      </c>
      <c r="M97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7" s="20" t="str">
        <f t="array" ref="N97">IFERROR(IF($N$2=$K$2,INDEX($Q:$Q,MATCH(M97,$S:$S,0)),IF($N$2=$K$3,INDEX(Q:Q,MATCH(M97,V:V,0)),IF($N$2=$K$4,INDEX(Q:Q,MATCH(M97,Y:Y,0)),IF($N$2=$K$5,INDEX(Q:Q,MATCH(M97,AB:AB,0)),IF($N$2=$K$6,INDEX(Q:Q,MATCH(M97,AE:AE,0))))))),"")</f>
        <v/>
      </c>
      <c r="O97" s="3"/>
      <c r="S97" s="169"/>
      <c r="T97" s="199"/>
      <c r="U97" s="209"/>
      <c r="V97" s="210"/>
      <c r="W97" s="185"/>
      <c r="X97" s="185"/>
      <c r="Z97" s="171"/>
      <c r="AA97" s="171"/>
      <c r="AB97" s="183"/>
      <c r="AD97" s="168"/>
      <c r="AE97" s="168"/>
      <c r="AF97" s="1"/>
      <c r="AG97" s="1"/>
      <c r="AH97" s="1"/>
    </row>
    <row r="98" spans="1:35" x14ac:dyDescent="0.2">
      <c r="A98" s="42">
        <v>0.71527777777777601</v>
      </c>
      <c r="B98" s="3"/>
      <c r="L98" s="103">
        <v>72</v>
      </c>
      <c r="M98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8" s="20" t="str">
        <f t="array" ref="N98">IFERROR(IF($N$2=$K$2,INDEX($Q:$Q,MATCH(M98,$S:$S,0)),IF($N$2=$K$3,INDEX(Q:Q,MATCH(M98,V:V,0)),IF($N$2=$K$4,INDEX(Q:Q,MATCH(M98,Y:Y,0)),IF($N$2=$K$5,INDEX(Q:Q,MATCH(M98,AB:AB,0)),IF($N$2=$K$6,INDEX(Q:Q,MATCH(M98,AE:AE,0))))))),"")</f>
        <v/>
      </c>
      <c r="O98" s="3"/>
      <c r="S98" s="169"/>
      <c r="T98" s="199"/>
      <c r="U98" s="209"/>
      <c r="V98" s="210"/>
      <c r="W98" s="185"/>
      <c r="X98" s="185"/>
      <c r="Z98" s="171"/>
      <c r="AA98" s="171"/>
      <c r="AB98" s="183"/>
      <c r="AD98" s="168"/>
      <c r="AE98" s="168"/>
      <c r="AF98" s="1"/>
      <c r="AG98" s="1"/>
      <c r="AH98" s="1"/>
    </row>
    <row r="99" spans="1:35" x14ac:dyDescent="0.2">
      <c r="A99" s="42">
        <v>0.718749999999998</v>
      </c>
      <c r="B99" s="3"/>
      <c r="L99" s="103">
        <v>73</v>
      </c>
      <c r="M99" s="19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>0</v>
      </c>
      <c r="N99" s="20" t="str">
        <f t="array" ref="N99">IFERROR(IF($N$2=$K$2,INDEX($Q:$Q,MATCH(M99,$S:$S,0)),IF($N$2=$K$3,INDEX(Q:Q,MATCH(M99,V:V,0)),IF($N$2=$K$4,INDEX(Q:Q,MATCH(M99,Y:Y,0)),IF($N$2=$K$5,INDEX(Q:Q,MATCH(M99,AB:AB,0)),IF($N$2=$K$6,INDEX(Q:Q,MATCH(M99,AE:AE,0))))))),"")</f>
        <v/>
      </c>
      <c r="O99" s="3"/>
      <c r="S99" s="169"/>
      <c r="T99" s="199"/>
      <c r="U99" s="209"/>
      <c r="V99" s="210"/>
      <c r="W99" s="185"/>
      <c r="X99" s="185"/>
      <c r="Z99" s="171"/>
      <c r="AA99" s="171"/>
      <c r="AB99" s="183"/>
      <c r="AD99" s="168"/>
      <c r="AE99" s="168"/>
      <c r="AF99" s="1"/>
      <c r="AG99" s="1"/>
      <c r="AH99" s="1"/>
    </row>
    <row r="100" spans="1:35" x14ac:dyDescent="0.2">
      <c r="A100" s="42">
        <v>0.72222222222222099</v>
      </c>
      <c r="B100" s="3"/>
      <c r="L100" s="103">
        <v>74</v>
      </c>
      <c r="M10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0" s="20">
        <f t="array" ref="N100">IFERROR(IF($N$2=$K$2,INDEX($Q:$Q,MATCH(M100,$S:$S,0)),IF($N$2=$K$3,INDEX(Q:Q,MATCH(M100,V:V,0)),IF($N$2=$K$4,INDEX(Q:Q,MATCH(M100,Y:Y,0)),IF($N$2=$K$5,INDEX(Q:Q,MATCH(M100,AB:AB,0)),IF($N$2=$K$6,INDEX(Q:Q,MATCH(M100,AE:AE,0))))))),"")</f>
        <v>0</v>
      </c>
      <c r="O100" s="3"/>
      <c r="S100" s="169"/>
      <c r="T100" s="199"/>
      <c r="U100" s="209"/>
      <c r="V100" s="210"/>
      <c r="W100" s="185"/>
      <c r="X100" s="185"/>
      <c r="Z100" s="171"/>
      <c r="AA100" s="171"/>
      <c r="AB100" s="183"/>
      <c r="AD100" s="168"/>
      <c r="AE100" s="168"/>
      <c r="AF100" s="1"/>
      <c r="AG100" s="1"/>
      <c r="AH100" s="1"/>
    </row>
    <row r="101" spans="1:35" x14ac:dyDescent="0.2">
      <c r="A101" s="42">
        <v>0.72569444444444298</v>
      </c>
      <c r="B101" s="3"/>
      <c r="L101" s="103">
        <v>75</v>
      </c>
      <c r="M10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1" s="20">
        <f t="array" ref="N101">IFERROR(IF($N$2=$K$2,INDEX($Q:$Q,MATCH(M101,$S:$S,0)),IF($N$2=$K$3,INDEX(Q:Q,MATCH(M101,V:V,0)),IF($N$2=$K$4,INDEX(Q:Q,MATCH(M101,Y:Y,0)),IF($N$2=$K$5,INDEX(Q:Q,MATCH(M101,AB:AB,0)),IF($N$2=$K$6,INDEX(Q:Q,MATCH(M101,AE:AE,0))))))),"")</f>
        <v>0</v>
      </c>
      <c r="O101" s="3"/>
      <c r="S101" s="169"/>
      <c r="T101" s="199"/>
      <c r="U101" s="209"/>
      <c r="V101" s="210"/>
      <c r="W101" s="185"/>
      <c r="X101" s="185"/>
      <c r="Z101" s="171"/>
      <c r="AA101" s="171"/>
      <c r="AB101" s="183"/>
      <c r="AD101" s="168"/>
      <c r="AE101" s="168"/>
      <c r="AF101" s="1"/>
      <c r="AG101" s="1"/>
      <c r="AH101" s="1"/>
    </row>
    <row r="102" spans="1:35" x14ac:dyDescent="0.2">
      <c r="A102" s="42">
        <v>0.72916666666666496</v>
      </c>
      <c r="B102" s="3"/>
      <c r="L102" s="103">
        <v>76</v>
      </c>
      <c r="M10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2" s="20">
        <f t="array" ref="N102">IFERROR(IF($N$2=$K$2,INDEX($Q:$Q,MATCH(M102,$S:$S,0)),IF($N$2=$K$3,INDEX(Q:Q,MATCH(M102,V:V,0)),IF($N$2=$K$4,INDEX(Q:Q,MATCH(M102,Y:Y,0)),IF($N$2=$K$5,INDEX(Q:Q,MATCH(M102,AB:AB,0)),IF($N$2=$K$6,INDEX(Q:Q,MATCH(M102,AE:AE,0))))))),"")</f>
        <v>0</v>
      </c>
      <c r="O102" s="3"/>
      <c r="W102" s="186"/>
      <c r="Y102" s="184"/>
      <c r="Z102" s="183"/>
      <c r="AB102" s="170"/>
      <c r="AD102" s="169"/>
      <c r="AE102" s="169"/>
      <c r="AF102" s="13"/>
      <c r="AG102" s="1"/>
      <c r="AH102" s="1"/>
    </row>
    <row r="103" spans="1:35" x14ac:dyDescent="0.2">
      <c r="A103" s="42">
        <v>0.73263888888888695</v>
      </c>
      <c r="B103" s="3"/>
      <c r="L103" s="103">
        <v>77</v>
      </c>
      <c r="M10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3" s="20">
        <f t="array" ref="N103">IFERROR(IF($N$2=$K$2,INDEX($Q:$Q,MATCH(M103,$S:$S,0)),IF($N$2=$K$3,INDEX(Q:Q,MATCH(M103,V:V,0)),IF($N$2=$K$4,INDEX(Q:Q,MATCH(M103,Y:Y,0)),IF($N$2=$K$5,INDEX(Q:Q,MATCH(M103,AB:AB,0)),IF($N$2=$K$6,INDEX(Q:Q,MATCH(M103,AE:AE,0))))))),"")</f>
        <v>0</v>
      </c>
      <c r="O103" s="3"/>
      <c r="W103" s="186"/>
      <c r="Y103" s="184"/>
      <c r="Z103" s="183"/>
      <c r="AB103" s="170"/>
      <c r="AD103" s="169"/>
      <c r="AE103" s="169"/>
      <c r="AF103" s="13"/>
      <c r="AG103" s="10"/>
    </row>
    <row r="104" spans="1:35" x14ac:dyDescent="0.2">
      <c r="A104" s="42">
        <v>0.73611111111110905</v>
      </c>
      <c r="B104" s="3"/>
      <c r="L104" s="103">
        <v>78</v>
      </c>
      <c r="M10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4" s="20">
        <f t="array" ref="N104">IFERROR(IF($N$2=$K$2,INDEX($Q:$Q,MATCH(M104,$S:$S,0)),IF($N$2=$K$3,INDEX(Q:Q,MATCH(M104,V:V,0)),IF($N$2=$K$4,INDEX(Q:Q,MATCH(M104,Y:Y,0)),IF($N$2=$K$5,INDEX(Q:Q,MATCH(M104,AB:AB,0)),IF($N$2=$K$6,INDEX(Q:Q,MATCH(M104,AE:AE,0))))))),"")</f>
        <v>0</v>
      </c>
      <c r="O104" s="3"/>
      <c r="W104" s="186"/>
      <c r="Y104" s="184"/>
      <c r="Z104" s="183"/>
      <c r="AB104" s="170"/>
      <c r="AD104" s="169"/>
      <c r="AE104" s="169"/>
      <c r="AF104" s="13"/>
      <c r="AG104" s="10"/>
      <c r="AI104" s="13"/>
    </row>
    <row r="105" spans="1:35" x14ac:dyDescent="0.2">
      <c r="A105" s="42">
        <v>0.73958333333333204</v>
      </c>
      <c r="B105" s="3"/>
      <c r="L105" s="103">
        <v>79</v>
      </c>
      <c r="M10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5" s="20">
        <f t="array" ref="N105">IFERROR(IF($N$2=$K$2,INDEX($Q:$Q,MATCH(M105,$S:$S,0)),IF($N$2=$K$3,INDEX(Q:Q,MATCH(M105,V:V,0)),IF($N$2=$K$4,INDEX(Q:Q,MATCH(M105,Y:Y,0)),IF($N$2=$K$5,INDEX(Q:Q,MATCH(M105,AB:AB,0)),IF($N$2=$K$6,INDEX(Q:Q,MATCH(M105,AE:AE,0))))))),"")</f>
        <v>0</v>
      </c>
      <c r="O105" s="3"/>
      <c r="W105" s="186"/>
      <c r="Y105" s="184"/>
      <c r="Z105" s="183"/>
      <c r="AB105" s="170"/>
      <c r="AD105" s="169"/>
      <c r="AE105" s="169"/>
      <c r="AF105" s="13"/>
      <c r="AG105" s="10"/>
      <c r="AI105" s="13"/>
    </row>
    <row r="106" spans="1:35" x14ac:dyDescent="0.2">
      <c r="A106" s="42">
        <v>0.74305555555555403</v>
      </c>
      <c r="B106" s="3"/>
      <c r="L106" s="103">
        <v>80</v>
      </c>
      <c r="M10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6" s="20">
        <f t="array" ref="N106">IFERROR(IF($N$2=$K$2,INDEX($Q:$Q,MATCH(M106,$S:$S,0)),IF($N$2=$K$3,INDEX(Q:Q,MATCH(M106,V:V,0)),IF($N$2=$K$4,INDEX(Q:Q,MATCH(M106,Y:Y,0)),IF($N$2=$K$5,INDEX(Q:Q,MATCH(M106,AB:AB,0)),IF($N$2=$K$6,INDEX(Q:Q,MATCH(M106,AE:AE,0))))))),"")</f>
        <v>0</v>
      </c>
      <c r="O106" s="3"/>
      <c r="AG106" s="10"/>
      <c r="AI106" s="13"/>
    </row>
    <row r="107" spans="1:35" x14ac:dyDescent="0.2">
      <c r="A107" s="42">
        <v>0.74652777777777601</v>
      </c>
      <c r="B107" s="3"/>
      <c r="L107" s="103">
        <v>81</v>
      </c>
      <c r="M10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7" s="20">
        <f t="array" ref="N107">IFERROR(IF($N$2=$K$2,INDEX($Q:$Q,MATCH(M107,$S:$S,0)),IF($N$2=$K$3,INDEX(Q:Q,MATCH(M107,V:V,0)),IF($N$2=$K$4,INDEX(Q:Q,MATCH(M107,Y:Y,0)),IF($N$2=$K$5,INDEX(Q:Q,MATCH(M107,AB:AB,0)),IF($N$2=$K$6,INDEX(Q:Q,MATCH(M107,AE:AE,0))))))),"")</f>
        <v>0</v>
      </c>
      <c r="O107" s="3"/>
    </row>
    <row r="108" spans="1:35" x14ac:dyDescent="0.2">
      <c r="A108" s="42">
        <v>0.749999999999998</v>
      </c>
      <c r="B108" s="3"/>
      <c r="L108" s="103">
        <v>82</v>
      </c>
      <c r="M10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8" s="20">
        <f t="array" ref="N108">IFERROR(IF($N$2=$K$2,INDEX($Q:$Q,MATCH(M108,$S:$S,0)),IF($N$2=$K$3,INDEX(Q:Q,MATCH(M108,V:V,0)),IF($N$2=$K$4,INDEX(Q:Q,MATCH(M108,Y:Y,0)),IF($N$2=$K$5,INDEX(Q:Q,MATCH(M108,AB:AB,0)),IF($N$2=$K$6,INDEX(Q:Q,MATCH(M108,AE:AE,0))))))),"")</f>
        <v>0</v>
      </c>
      <c r="O108" s="3"/>
    </row>
    <row r="109" spans="1:35" x14ac:dyDescent="0.2">
      <c r="A109" s="42">
        <v>0.75347222222221999</v>
      </c>
      <c r="B109" s="3"/>
      <c r="L109" s="103">
        <v>83</v>
      </c>
      <c r="M10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09" s="20">
        <f t="array" ref="N109">IFERROR(IF($N$2=$K$2,INDEX($Q:$Q,MATCH(M109,$S:$S,0)),IF($N$2=$K$3,INDEX(Q:Q,MATCH(M109,V:V,0)),IF($N$2=$K$4,INDEX(Q:Q,MATCH(M109,Y:Y,0)),IF($N$2=$K$5,INDEX(Q:Q,MATCH(M109,AB:AB,0)),IF($N$2=$K$6,INDEX(Q:Q,MATCH(M109,AE:AE,0))))))),"")</f>
        <v>0</v>
      </c>
      <c r="O109" s="3"/>
    </row>
    <row r="110" spans="1:35" x14ac:dyDescent="0.2">
      <c r="A110" s="42">
        <v>0.75694444444444298</v>
      </c>
      <c r="B110" s="3"/>
      <c r="L110" s="103">
        <v>84</v>
      </c>
      <c r="M11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0" s="20">
        <f t="array" ref="N110">IFERROR(IF($N$2=$K$2,INDEX($Q:$Q,MATCH(M110,$S:$S,0)),IF($N$2=$K$3,INDEX(Q:Q,MATCH(M110,V:V,0)),IF($N$2=$K$4,INDEX(Q:Q,MATCH(M110,Y:Y,0)),IF($N$2=$K$5,INDEX(Q:Q,MATCH(M110,AB:AB,0)),IF($N$2=$K$6,INDEX(Q:Q,MATCH(M110,AE:AE,0))))))),"")</f>
        <v>0</v>
      </c>
      <c r="O110" s="3"/>
    </row>
    <row r="111" spans="1:35" x14ac:dyDescent="0.2">
      <c r="A111" s="42">
        <v>0.76041666666666496</v>
      </c>
      <c r="B111" s="3"/>
      <c r="L111" s="103">
        <v>85</v>
      </c>
      <c r="M11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1" s="20">
        <f t="array" ref="N111">IFERROR(IF($N$2=$K$2,INDEX($Q:$Q,MATCH(M111,$S:$S,0)),IF($N$2=$K$3,INDEX(Q:Q,MATCH(M111,V:V,0)),IF($N$2=$K$4,INDEX(Q:Q,MATCH(M111,Y:Y,0)),IF($N$2=$K$5,INDEX(Q:Q,MATCH(M111,AB:AB,0)),IF($N$2=$K$6,INDEX(Q:Q,MATCH(M111,AE:AE,0))))))),"")</f>
        <v>0</v>
      </c>
      <c r="O111" s="3"/>
    </row>
    <row r="112" spans="1:35" x14ac:dyDescent="0.2">
      <c r="A112" s="42">
        <v>0.76388888888888695</v>
      </c>
      <c r="B112" s="3"/>
      <c r="L112" s="103">
        <v>86</v>
      </c>
      <c r="M11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2" s="20">
        <f t="array" ref="N112">IFERROR(IF($N$2=$K$2,INDEX($Q:$Q,MATCH(M112,$S:$S,0)),IF($N$2=$K$3,INDEX(Q:Q,MATCH(M112,V:V,0)),IF($N$2=$K$4,INDEX(Q:Q,MATCH(M112,Y:Y,0)),IF($N$2=$K$5,INDEX(Q:Q,MATCH(M112,AB:AB,0)),IF($N$2=$K$6,INDEX(Q:Q,MATCH(M112,AE:AE,0))))))),"")</f>
        <v>0</v>
      </c>
      <c r="O112" s="3"/>
    </row>
    <row r="113" spans="1:15" x14ac:dyDescent="0.2">
      <c r="A113" s="42">
        <v>0.76736111111110905</v>
      </c>
      <c r="B113" s="3"/>
      <c r="L113" s="103">
        <v>87</v>
      </c>
      <c r="M11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3" s="20">
        <f t="array" ref="N113">IFERROR(IF($N$2=$K$2,INDEX($Q:$Q,MATCH(M113,$S:$S,0)),IF($N$2=$K$3,INDEX(Q:Q,MATCH(M113,V:V,0)),IF($N$2=$K$4,INDEX(Q:Q,MATCH(M113,Y:Y,0)),IF($N$2=$K$5,INDEX(Q:Q,MATCH(M113,AB:AB,0)),IF($N$2=$K$6,INDEX(Q:Q,MATCH(M113,AE:AE,0))))))),"")</f>
        <v>0</v>
      </c>
      <c r="O113" s="3"/>
    </row>
    <row r="114" spans="1:15" x14ac:dyDescent="0.2">
      <c r="A114" s="42">
        <v>0.77083333333333104</v>
      </c>
      <c r="B114" s="3"/>
      <c r="L114" s="103">
        <v>88</v>
      </c>
      <c r="M11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4" s="20">
        <f t="array" ref="N114">IFERROR(IF($N$2=$K$2,INDEX($Q:$Q,MATCH(M114,$S:$S,0)),IF($N$2=$K$3,INDEX(Q:Q,MATCH(M114,V:V,0)),IF($N$2=$K$4,INDEX(Q:Q,MATCH(M114,Y:Y,0)),IF($N$2=$K$5,INDEX(Q:Q,MATCH(M114,AB:AB,0)),IF($N$2=$K$6,INDEX(Q:Q,MATCH(M114,AE:AE,0))))))),"")</f>
        <v>0</v>
      </c>
      <c r="O114" s="3"/>
    </row>
    <row r="115" spans="1:15" x14ac:dyDescent="0.2">
      <c r="A115" s="42">
        <v>0.77430555555555403</v>
      </c>
      <c r="B115" s="3"/>
      <c r="L115" s="103">
        <v>89</v>
      </c>
      <c r="M11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5" s="20">
        <f t="array" ref="N115">IFERROR(IF($N$2=$K$2,INDEX($Q:$Q,MATCH(M115,$S:$S,0)),IF($N$2=$K$3,INDEX(Q:Q,MATCH(M115,V:V,0)),IF($N$2=$K$4,INDEX(Q:Q,MATCH(M115,Y:Y,0)),IF($N$2=$K$5,INDEX(Q:Q,MATCH(M115,AB:AB,0)),IF($N$2=$K$6,INDEX(Q:Q,MATCH(M115,AE:AE,0))))))),"")</f>
        <v>0</v>
      </c>
      <c r="O115" s="3"/>
    </row>
    <row r="116" spans="1:15" x14ac:dyDescent="0.2">
      <c r="A116" s="42">
        <v>0.77777777777777601</v>
      </c>
      <c r="B116" s="3"/>
      <c r="L116" s="103">
        <v>90</v>
      </c>
      <c r="M11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6" s="20">
        <f t="array" ref="N116">IFERROR(IF($N$2=$K$2,INDEX($Q:$Q,MATCH(M116,$S:$S,0)),IF($N$2=$K$3,INDEX(Q:Q,MATCH(M116,V:V,0)),IF($N$2=$K$4,INDEX(Q:Q,MATCH(M116,Y:Y,0)),IF($N$2=$K$5,INDEX(Q:Q,MATCH(M116,AB:AB,0)),IF($N$2=$K$6,INDEX(Q:Q,MATCH(M116,AE:AE,0))))))),"")</f>
        <v>0</v>
      </c>
      <c r="O116" s="3"/>
    </row>
    <row r="117" spans="1:15" x14ac:dyDescent="0.2">
      <c r="A117" s="42">
        <v>0.781249999999998</v>
      </c>
      <c r="B117" s="3"/>
      <c r="L117" s="103">
        <v>91</v>
      </c>
      <c r="M11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7" s="20">
        <f t="array" ref="N117">IFERROR(IF($N$2=$K$2,INDEX($Q:$Q,MATCH(M117,$S:$S,0)),IF($N$2=$K$3,INDEX(Q:Q,MATCH(M117,V:V,0)),IF($N$2=$K$4,INDEX(Q:Q,MATCH(M117,Y:Y,0)),IF($N$2=$K$5,INDEX(Q:Q,MATCH(M117,AB:AB,0)),IF($N$2=$K$6,INDEX(Q:Q,MATCH(M117,AE:AE,0))))))),"")</f>
        <v>0</v>
      </c>
      <c r="O117" s="3"/>
    </row>
    <row r="118" spans="1:15" x14ac:dyDescent="0.2">
      <c r="A118" s="42">
        <v>0.78472222222221999</v>
      </c>
      <c r="B118" s="3"/>
      <c r="L118" s="103">
        <v>92</v>
      </c>
      <c r="M11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8" s="20">
        <f t="array" ref="N118">IFERROR(IF($N$2=$K$2,INDEX($Q:$Q,MATCH(M118,$S:$S,0)),IF($N$2=$K$3,INDEX(Q:Q,MATCH(M118,V:V,0)),IF($N$2=$K$4,INDEX(Q:Q,MATCH(M118,Y:Y,0)),IF($N$2=$K$5,INDEX(Q:Q,MATCH(M118,AB:AB,0)),IF($N$2=$K$6,INDEX(Q:Q,MATCH(M118,AE:AE,0))))))),"")</f>
        <v>0</v>
      </c>
      <c r="O118" s="3"/>
    </row>
    <row r="119" spans="1:15" x14ac:dyDescent="0.2">
      <c r="A119" s="42">
        <v>0.78819444444444298</v>
      </c>
      <c r="B119" s="3"/>
      <c r="L119" s="103">
        <v>93</v>
      </c>
      <c r="M11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19" s="20">
        <f t="array" ref="N119">IFERROR(IF($N$2=$K$2,INDEX($Q:$Q,MATCH(M119,$S:$S,0)),IF($N$2=$K$3,INDEX(Q:Q,MATCH(M119,V:V,0)),IF($N$2=$K$4,INDEX(Q:Q,MATCH(M119,Y:Y,0)),IF($N$2=$K$5,INDEX(Q:Q,MATCH(M119,AB:AB,0)),IF($N$2=$K$6,INDEX(Q:Q,MATCH(M119,AE:AE,0))))))),"")</f>
        <v>0</v>
      </c>
      <c r="O119" s="3"/>
    </row>
    <row r="120" spans="1:15" x14ac:dyDescent="0.2">
      <c r="A120" s="42">
        <v>0.79166666666666496</v>
      </c>
      <c r="B120" s="3"/>
      <c r="L120" s="103">
        <v>94</v>
      </c>
      <c r="M12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0" s="20">
        <f t="array" ref="N120">IFERROR(IF($N$2=$K$2,INDEX($Q:$Q,MATCH(M120,$S:$S,0)),IF($N$2=$K$3,INDEX(Q:Q,MATCH(M120,V:V,0)),IF($N$2=$K$4,INDEX(Q:Q,MATCH(M120,Y:Y,0)),IF($N$2=$K$5,INDEX(Q:Q,MATCH(M120,AB:AB,0)),IF($N$2=$K$6,INDEX(Q:Q,MATCH(M120,AE:AE,0))))))),"")</f>
        <v>0</v>
      </c>
      <c r="O120" s="3"/>
    </row>
    <row r="121" spans="1:15" x14ac:dyDescent="0.2">
      <c r="A121" s="42">
        <v>0.79513888888888695</v>
      </c>
      <c r="B121" s="3"/>
      <c r="L121" s="103">
        <v>95</v>
      </c>
      <c r="M121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1" s="20">
        <f t="array" ref="N121">IFERROR(IF($N$2=$K$2,INDEX($Q:$Q,MATCH(M121,$S:$S,0)),IF($N$2=$K$3,INDEX(Q:Q,MATCH(M121,V:V,0)),IF($N$2=$K$4,INDEX(Q:Q,MATCH(M121,Y:Y,0)),IF($N$2=$K$5,INDEX(Q:Q,MATCH(M121,AB:AB,0)),IF($N$2=$K$6,INDEX(Q:Q,MATCH(M121,AE:AE,0))))))),"")</f>
        <v>0</v>
      </c>
      <c r="O121" s="3"/>
    </row>
    <row r="122" spans="1:15" x14ac:dyDescent="0.2">
      <c r="A122" s="42">
        <v>0.79861111111110905</v>
      </c>
      <c r="B122" s="3"/>
      <c r="L122" s="103">
        <v>96</v>
      </c>
      <c r="M122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2" s="20">
        <f t="array" ref="N122">IFERROR(IF($N$2=$K$2,INDEX($Q:$Q,MATCH(M122,$S:$S,0)),IF($N$2=$K$3,INDEX(Q:Q,MATCH(M122,V:V,0)),IF($N$2=$K$4,INDEX(Q:Q,MATCH(M122,Y:Y,0)),IF($N$2=$K$5,INDEX(Q:Q,MATCH(M122,AB:AB,0)),IF($N$2=$K$6,INDEX(Q:Q,MATCH(M122,AE:AE,0))))))),"")</f>
        <v>0</v>
      </c>
      <c r="O122" s="3"/>
    </row>
    <row r="123" spans="1:15" x14ac:dyDescent="0.2">
      <c r="A123" s="42">
        <v>0.80208333333333104</v>
      </c>
      <c r="B123" s="3"/>
      <c r="L123" s="103">
        <v>97</v>
      </c>
      <c r="M123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3" s="20">
        <f t="array" ref="N123">IFERROR(IF($N$2=$K$2,INDEX($Q:$Q,MATCH(M123,$S:$S,0)),IF($N$2=$K$3,INDEX(Q:Q,MATCH(M123,V:V,0)),IF($N$2=$K$4,INDEX(Q:Q,MATCH(M123,Y:Y,0)),IF($N$2=$K$5,INDEX(Q:Q,MATCH(M123,AB:AB,0)),IF($N$2=$K$6,INDEX(Q:Q,MATCH(M123,AE:AE,0))))))),"")</f>
        <v>0</v>
      </c>
      <c r="O123" s="3"/>
    </row>
    <row r="124" spans="1:15" x14ac:dyDescent="0.2">
      <c r="A124" s="42">
        <v>0.80555555555555403</v>
      </c>
      <c r="B124" s="3"/>
      <c r="L124" s="103">
        <v>98</v>
      </c>
      <c r="M124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4" s="20">
        <f t="array" ref="N124">IFERROR(IF($N$2=$K$2,INDEX($Q:$Q,MATCH(M124,$S:$S,0)),IF($N$2=$K$3,INDEX(Q:Q,MATCH(M124,V:V,0)),IF($N$2=$K$4,INDEX(Q:Q,MATCH(M124,Y:Y,0)),IF($N$2=$K$5,INDEX(Q:Q,MATCH(M124,AB:AB,0)),IF($N$2=$K$6,INDEX(Q:Q,MATCH(M124,AE:AE,0))))))),"")</f>
        <v>0</v>
      </c>
      <c r="O124" s="3"/>
    </row>
    <row r="125" spans="1:15" x14ac:dyDescent="0.2">
      <c r="A125" s="42">
        <v>0.80902777777777601</v>
      </c>
      <c r="B125" s="3"/>
      <c r="L125" s="103">
        <v>99</v>
      </c>
      <c r="M125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5" s="20">
        <f t="array" ref="N125">IFERROR(IF($N$2=$K$2,INDEX($Q:$Q,MATCH(M125,$S:$S,0)),IF($N$2=$K$3,INDEX(Q:Q,MATCH(M125,V:V,0)),IF($N$2=$K$4,INDEX(Q:Q,MATCH(M125,Y:Y,0)),IF($N$2=$K$5,INDEX(Q:Q,MATCH(M125,AB:AB,0)),IF($N$2=$K$6,INDEX(Q:Q,MATCH(M125,AE:AE,0))))))),"")</f>
        <v>0</v>
      </c>
      <c r="O125" s="3"/>
    </row>
    <row r="126" spans="1:15" x14ac:dyDescent="0.2">
      <c r="A126" s="42">
        <v>0.812499999999998</v>
      </c>
      <c r="B126" s="3"/>
      <c r="L126" s="103">
        <v>100</v>
      </c>
      <c r="M126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6" s="20">
        <f t="array" ref="N126">IFERROR(IF($N$2=$K$2,INDEX($Q:$Q,MATCH(M126,$S:$S,0)),IF($N$2=$K$3,INDEX(Q:Q,MATCH(M126,V:V,0)),IF($N$2=$K$4,INDEX(Q:Q,MATCH(M126,Y:Y,0)),IF($N$2=$K$5,INDEX(Q:Q,MATCH(M126,AB:AB,0)),IF($N$2=$K$6,INDEX(Q:Q,MATCH(M126,AE:AE,0))))))),"")</f>
        <v>0</v>
      </c>
      <c r="O126" s="3"/>
    </row>
    <row r="127" spans="1:15" x14ac:dyDescent="0.2">
      <c r="A127" s="42">
        <v>0.81597222222221999</v>
      </c>
      <c r="B127" s="3"/>
      <c r="L127" s="103">
        <v>101</v>
      </c>
      <c r="M127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7" s="20">
        <f t="array" ref="N127">IFERROR(IF($N$2=$K$2,INDEX($Q:$Q,MATCH(M127,$S:$S,0)),IF($N$2=$K$3,INDEX(Q:Q,MATCH(M127,V:V,0)),IF($N$2=$K$4,INDEX(Q:Q,MATCH(M127,Y:Y,0)),IF($N$2=$K$5,INDEX(Q:Q,MATCH(M127,AB:AB,0)),IF($N$2=$K$6,INDEX(Q:Q,MATCH(M127,AE:AE,0))))))),"")</f>
        <v>0</v>
      </c>
      <c r="O127" s="3"/>
    </row>
    <row r="128" spans="1:15" x14ac:dyDescent="0.2">
      <c r="A128" s="42">
        <v>0.81944444444444198</v>
      </c>
      <c r="B128" s="3"/>
      <c r="L128" s="103">
        <v>102</v>
      </c>
      <c r="M128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8" s="20">
        <f t="array" ref="N128">IFERROR(IF($N$2=$K$2,INDEX($Q:$Q,MATCH(M128,$S:$S,0)),IF($N$2=$K$3,INDEX(Q:Q,MATCH(M128,V:V,0)),IF($N$2=$K$4,INDEX(Q:Q,MATCH(M128,Y:Y,0)),IF($N$2=$K$5,INDEX(Q:Q,MATCH(M128,AB:AB,0)),IF($N$2=$K$6,INDEX(Q:Q,MATCH(M128,AE:AE,0))))))),"")</f>
        <v>0</v>
      </c>
      <c r="O128" s="3"/>
    </row>
    <row r="129" spans="1:15" x14ac:dyDescent="0.2">
      <c r="A129" s="42">
        <v>0.82291666666666496</v>
      </c>
      <c r="B129" s="3"/>
      <c r="L129" s="103">
        <v>103</v>
      </c>
      <c r="M129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29" s="20">
        <f t="array" ref="N129">IFERROR(IF($N$2=$K$2,INDEX($Q:$Q,MATCH(M129,$S:$S,0)),IF($N$2=$K$3,INDEX(Q:Q,MATCH(M129,V:V,0)),IF($N$2=$K$4,INDEX(Q:Q,MATCH(M129,Y:Y,0)),IF($N$2=$K$5,INDEX(Q:Q,MATCH(M129,AB:AB,0)),IF($N$2=$K$6,INDEX(Q:Q,MATCH(M129,AE:AE,0))))))),"")</f>
        <v>0</v>
      </c>
      <c r="O129" s="3"/>
    </row>
    <row r="130" spans="1:15" x14ac:dyDescent="0.2">
      <c r="A130" s="42">
        <v>0.82638888888888695</v>
      </c>
      <c r="B130" s="3"/>
      <c r="L130" s="103">
        <v>104</v>
      </c>
      <c r="M130" s="19" t="str">
        <f>IFERROR(IF($N$2=Worksheet!$K$2,INDEX(PRDates[C1],MATCH(Table7[[#This Row],[Year]],PRDates[C55],0),1),IF($N$2=Worksheet!$K$3,INDEX(PRDates[C3],MATCH(Table7[[#This Row],[Year]],PRDates[C55],0),1),IF($N$2=Worksheet!$K$4,INDEX(PRDates[C5],MATCH(Table7[[#This Row],[Year]],PRDates[C55],0),1),IF($N$2=Worksheet!$K$5,INDEX(PRDates[C54],MATCH(Table7[[#This Row],[Year]],PRDates[C55],0),1),IF($N$2=Worksheet!$K$6,INDEX(PRDates[C61],MATCH(Table7[[#This Row],[Year]],PRDates[C55],0),1)))))),"")</f>
        <v/>
      </c>
      <c r="N130" s="20">
        <f t="array" ref="N130">IFERROR(IF($N$2=$K$2,INDEX($Q:$Q,MATCH(M130,$S:$S,0)),IF($N$2=$K$3,INDEX(Q:Q,MATCH(M130,V:V,0)),IF($N$2=$K$4,INDEX(Q:Q,MATCH(M130,Y:Y,0)),IF($N$2=$K$5,INDEX(Q:Q,MATCH(M130,AB:AB,0)),IF($N$2=$K$6,INDEX(Q:Q,MATCH(M130,AE:AE,0))))))),"")</f>
        <v>0</v>
      </c>
      <c r="O130" s="3"/>
    </row>
    <row r="131" spans="1:15" x14ac:dyDescent="0.2">
      <c r="A131" s="42">
        <v>0.82986111111110905</v>
      </c>
      <c r="B131" s="3"/>
      <c r="L131" s="10"/>
    </row>
    <row r="132" spans="1:15" x14ac:dyDescent="0.2">
      <c r="A132" s="42">
        <v>0.83333333333333104</v>
      </c>
      <c r="B132" s="3"/>
    </row>
  </sheetData>
  <sheetProtection formatCells="0" formatColumns="0" formatRows="0"/>
  <mergeCells count="4">
    <mergeCell ref="N1:P1"/>
    <mergeCell ref="N2:P2"/>
    <mergeCell ref="E1:G1"/>
    <mergeCell ref="B2:C2"/>
  </mergeCells>
  <conditionalFormatting sqref="X10:Y10 U10:V52 V53:V61 Y53:Y61 AB53:AB60 AB37:AD37 AE11:AE23 AE61:AE81 AE25:AE37 AB11:AC23 Y11:Y37">
    <cfRule type="expression" dxfId="122" priority="39">
      <formula>$U$10:$U$27&gt;35</formula>
    </cfRule>
  </conditionalFormatting>
  <conditionalFormatting sqref="AA10:AB10 AD10:AE10">
    <cfRule type="expression" dxfId="121" priority="35">
      <formula>$U$10:$U$27&gt;35</formula>
    </cfRule>
  </conditionalFormatting>
  <conditionalFormatting sqref="X38:Y52">
    <cfRule type="expression" dxfId="120" priority="9">
      <formula>$U$10:$U$27&gt;35</formula>
    </cfRule>
  </conditionalFormatting>
  <conditionalFormatting sqref="AA38:AB52">
    <cfRule type="expression" dxfId="119" priority="8">
      <formula>$U$10:$U$27&gt;35</formula>
    </cfRule>
  </conditionalFormatting>
  <conditionalFormatting sqref="AE53:AE60">
    <cfRule type="expression" dxfId="118" priority="5">
      <formula>$U$10:$U$27&gt;35</formula>
    </cfRule>
  </conditionalFormatting>
  <conditionalFormatting sqref="AD38:AE52">
    <cfRule type="expression" dxfId="117" priority="4">
      <formula>$U$10:$U$27&gt;35</formula>
    </cfRule>
  </conditionalFormatting>
  <conditionalFormatting sqref="AE24">
    <cfRule type="expression" dxfId="116" priority="2">
      <formula>$U$10:$U$27&gt;35</formula>
    </cfRule>
  </conditionalFormatting>
  <conditionalFormatting sqref="AB24:AB36">
    <cfRule type="expression" dxfId="115" priority="1">
      <formula>$U$10:$U$27&gt;35</formula>
    </cfRule>
  </conditionalFormatting>
  <dataValidations disablePrompts="1" count="1">
    <dataValidation type="list" allowBlank="1" showInputMessage="1" showErrorMessage="1" sqref="A10:A132" xr:uid="{00000000-0002-0000-0C00-000000000000}">
      <formula1>TimeList</formula1>
    </dataValidation>
  </dataValidations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0" id="{4EBD4BBD-C321-4529-B2FC-A1C200881101}">
            <xm:f>MATCH('D:\Users\youngt\AppData\Local\Microsoft\Windows\INetCache\Content.Outlook\58IWGBWQ\[Timesheet Template (All Schools).xlsx]June - July '!#REF!,$M$9:$M$20,0)</xm:f>
            <x14:dxf/>
          </x14:cfRule>
          <xm:sqref>Q10:S23 I2:K2 K15:K27 K11:K13 I1 B15:C42 D15:I15 I3:J5 K4:K5 N16:O16 N21:O21 O22 M131:M133 O29:O36 D17:I17 D16:J16 D19:I34 D18:J18 L8:L131</xm:sqref>
        </x14:conditionalFormatting>
        <x14:conditionalFormatting xmlns:xm="http://schemas.microsoft.com/office/excel/2006/main">
          <x14:cfRule type="expression" priority="51" id="{1548D70E-31E9-4DA0-AF31-78E7B4A93F45}">
            <xm:f>MATCH('D:\Users\youngt\AppData\Local\Microsoft\Windows\INetCache\Content.Outlook\58IWGBWQ\[Timesheet Template (All Schools).xlsx]June - July '!#REF!,$M$9:$M$20,0)</xm:f>
            <x14:dxf/>
          </x14:cfRule>
          <xm:sqref>N17:O20 N8:O15</xm:sqref>
        </x14:conditionalFormatting>
        <x14:conditionalFormatting xmlns:xm="http://schemas.microsoft.com/office/excel/2006/main">
          <x14:cfRule type="expression" priority="52" id="{24A2AE73-3A89-4B04-9044-F51F5ED63CE4}">
            <xm:f>MATCH('D:\Users\youngt\AppData\Local\Microsoft\Windows\INetCache\Content.Outlook\58IWGBWQ\[Timesheet Template (All Schools).xlsx]June - July '!#REF!,$M$9:$M$20,0)</xm:f>
            <x14:dxf/>
          </x14:cfRule>
          <xm:sqref>M17:M20 M8:M15</xm:sqref>
        </x14:conditionalFormatting>
        <x14:conditionalFormatting xmlns:xm="http://schemas.microsoft.com/office/excel/2006/main">
          <x14:cfRule type="expression" priority="48" id="{69BBDA16-1594-4B8B-A561-8772447C03D7}">
            <xm:f>MATCH('D:\Users\youngt\AppData\Local\Microsoft\Windows\INetCache\Content.Outlook\58IWGBWQ\[Timesheet Template (All Schools).xlsx]June - July '!#REF!,$M$9:$N$20,0)</xm:f>
            <x14:dxf/>
          </x14:cfRule>
          <xm:sqref>Q10:S23 K15:K25 K11:K13 I1 B11:C40 D15:I15 I2:K5 L8:O20 N21:O21 O22 L25:O26 O27:O32 L21:L24 N24:O24 M131:M133 L131 D16:J32 L27:M130</xm:sqref>
        </x14:conditionalFormatting>
        <x14:conditionalFormatting xmlns:xm="http://schemas.microsoft.com/office/excel/2006/main">
          <x14:cfRule type="expression" priority="725" id="{436B579B-52DE-4687-9461-9314C19538E8}">
            <xm:f>IFERROR(IFERROR(VLOOKUP('D:\Users\youngt\AppData\Local\Microsoft\Windows\INetCache\Content.Outlook\58IWGBWQ\[Timesheet Template (All Schools).xlsx]June - July '!#REF!,$M$9:$N$20,2,FALSE),VLOOKUP(TEXT(WEEKDAY('D:\Users\youngt\AppData\Local\Microsoft\Windows\INetCache\Content.Outlook\58IWGBWQ\[Timesheet Template (All Schools).xlsx]June - July '!#REF!),"DDD"),$M$9:$N$20,2,FALSE)),"")</xm:f>
            <x14:dxf/>
          </x14:cfRule>
          <xm:sqref>L8:L17</xm:sqref>
        </x14:conditionalFormatting>
        <x14:conditionalFormatting xmlns:xm="http://schemas.microsoft.com/office/excel/2006/main">
          <x14:cfRule type="expression" priority="32" id="{7B256996-C6AE-4EF4-8B1D-C2BCC34EB7E0}">
            <xm:f>MATCH('D:\Users\youngt\AppData\Local\Microsoft\Windows\INetCache\Content.Outlook\58IWGBWQ\[Timesheet Template (All Schools).xlsx]June - July '!#REF!,$M$9:$M$20,0)</xm:f>
            <x14:dxf/>
          </x14:cfRule>
          <xm:sqref>K3 M16 M21</xm:sqref>
        </x14:conditionalFormatting>
        <x14:conditionalFormatting xmlns:xm="http://schemas.microsoft.com/office/excel/2006/main">
          <x14:cfRule type="expression" priority="31" id="{EC80BE3E-31FC-4437-AC3F-88EABCCBFE85}">
            <xm:f>MATCH('D:\Users\youngt\AppData\Local\Microsoft\Windows\INetCache\Content.Outlook\58IWGBWQ\[Timesheet Template (All Schools).xlsx]June - July '!#REF!,$M$9:$N$20,0)</xm:f>
            <x14:dxf/>
          </x14:cfRule>
          <xm:sqref>M21</xm:sqref>
        </x14:conditionalFormatting>
        <x14:conditionalFormatting xmlns:xm="http://schemas.microsoft.com/office/excel/2006/main">
          <x14:cfRule type="expression" priority="1109" id="{BBB8013F-413D-4F05-8A73-0E4BA4B4DFF3}">
            <xm:f>MATCH('D:\Users\youngt\AppData\Local\Microsoft\Windows\INetCache\Content.Outlook\58IWGBWQ\[Timesheet Template (All Schools).xlsx]June - July '!#REF!,$M$9:$M$20,0)</xm:f>
            <x14:dxf/>
          </x14:cfRule>
          <xm:sqref>J15 M25:O26 O27:O28 N24:O24 J17 J19:J34 M27:M130</xm:sqref>
        </x14:conditionalFormatting>
        <x14:conditionalFormatting xmlns:xm="http://schemas.microsoft.com/office/excel/2006/main">
          <x14:cfRule type="expression" priority="1110" id="{F18144C9-1743-4920-98BC-761379CC50A4}">
            <xm:f>MATCH('D:\Users\youngt\AppData\Local\Microsoft\Windows\INetCache\Content.Outlook\58IWGBWQ\[Timesheet Template (All Schools).xlsx]June - July '!#REF!,$M$9:$N$20,0)</xm:f>
            <x14:dxf/>
          </x14:cfRule>
          <xm:sqref>J15</xm:sqref>
        </x14:conditionalFormatting>
        <x14:conditionalFormatting xmlns:xm="http://schemas.microsoft.com/office/excel/2006/main">
          <x14:cfRule type="expression" priority="20" id="{32FBC746-A929-4788-8617-9D3A49B337CD}">
            <xm:f>MATCH('D:\Users\youngt\AppData\Local\Microsoft\Windows\INetCache\Content.Outlook\58IWGBWQ\[Timesheet Template (All Schools).xlsx]June - July '!#REF!,$M$9:$M$20,0)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9" id="{20A68738-EC2A-4FF4-93AF-8625D23BD79C}">
            <xm:f>MATCH('D:\Users\youngt\AppData\Local\Microsoft\Windows\INetCache\Content.Outlook\58IWGBWQ\[Timesheet Template (All Schools).xlsx]June - July '!#REF!,$M$9:$N$20,0)</xm:f>
            <x14:dxf/>
          </x14:cfRule>
          <xm:sqref>N22</xm:sqref>
        </x14:conditionalFormatting>
        <x14:conditionalFormatting xmlns:xm="http://schemas.microsoft.com/office/excel/2006/main">
          <x14:cfRule type="expression" priority="18" id="{F28E17A6-FC4E-42C9-8468-12A49C5280CB}">
            <xm:f>MATCH('D:\Users\youngt\AppData\Local\Microsoft\Windows\INetCache\Content.Outlook\58IWGBWQ\[Timesheet Template (All Schools).xlsx]June - July '!#REF!,$M$9:$M$20,0)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7" id="{2D131114-DB6F-4531-BB08-8614BE77048E}">
            <xm:f>MATCH('D:\Users\youngt\AppData\Local\Microsoft\Windows\INetCache\Content.Outlook\58IWGBWQ\[Timesheet Template (All Schools).xlsx]June - July '!#REF!,$M$9:$N$20,0)</xm:f>
            <x14:dxf/>
          </x14:cfRule>
          <xm:sqref>M22</xm:sqref>
        </x14:conditionalFormatting>
        <x14:conditionalFormatting xmlns:xm="http://schemas.microsoft.com/office/excel/2006/main">
          <x14:cfRule type="expression" priority="15" id="{FEF5C4CC-87ED-4033-B63B-32EFD48ED381}">
            <xm:f>MATCH('D:\Users\youngt\AppData\Local\Microsoft\Windows\INetCache\Content.Outlook\58IWGBWQ\[Timesheet Template (All Schools).xlsx]June - July '!#REF!,$M$9:$M$20,0)</xm:f>
            <x14:dxf/>
          </x14:cfRule>
          <xm:sqref>N23:O23</xm:sqref>
        </x14:conditionalFormatting>
        <x14:conditionalFormatting xmlns:xm="http://schemas.microsoft.com/office/excel/2006/main">
          <x14:cfRule type="expression" priority="16" id="{6302CA6E-5D3A-4039-B743-5F93B795BA3D}">
            <xm:f>MATCH('D:\Users\youngt\AppData\Local\Microsoft\Windows\INetCache\Content.Outlook\58IWGBWQ\[Timesheet Template (All Schools).xlsx]June - July '!#REF!,$M$9:$M$20,0)</xm:f>
            <x14:dxf/>
          </x14:cfRule>
          <xm:sqref>M23</xm:sqref>
        </x14:conditionalFormatting>
        <x14:conditionalFormatting xmlns:xm="http://schemas.microsoft.com/office/excel/2006/main">
          <x14:cfRule type="expression" priority="14" id="{A0D95DBB-1655-4B5D-8661-950BE8F19731}">
            <xm:f>MATCH('D:\Users\youngt\AppData\Local\Microsoft\Windows\INetCache\Content.Outlook\58IWGBWQ\[Timesheet Template (All Schools).xlsx]June - July '!#REF!,$M$9:$N$20,0)</xm:f>
            <x14:dxf/>
          </x14:cfRule>
          <xm:sqref>M23:O23</xm:sqref>
        </x14:conditionalFormatting>
        <x14:conditionalFormatting xmlns:xm="http://schemas.microsoft.com/office/excel/2006/main">
          <x14:cfRule type="expression" priority="13" id="{45EDFA61-7112-4246-9B94-FEA35335A4C5}">
            <xm:f>MATCH('D:\Users\youngt\AppData\Local\Microsoft\Windows\INetCache\Content.Outlook\58IWGBWQ\[Timesheet Template (All Schools).xlsx]June - July '!#REF!,$M$9:$M$20,0)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2" id="{045F1A01-7049-4198-946F-4B00F8B387E8}">
            <xm:f>MATCH('D:\Users\youngt\AppData\Local\Microsoft\Windows\INetCache\Content.Outlook\58IWGBWQ\[Timesheet Template (All Schools).xlsx]June - July '!#REF!,$M$9:$N$20,0)</xm:f>
            <x14:dxf/>
          </x14:cfRule>
          <xm:sqref>M24</xm:sqref>
        </x14:conditionalFormatting>
        <x14:conditionalFormatting xmlns:xm="http://schemas.microsoft.com/office/excel/2006/main">
          <x14:cfRule type="expression" priority="11" id="{E1C564F2-CDA6-4503-9248-2C8BBCDD72A6}">
            <xm:f>MATCH('D:\Users\youngt\AppData\Local\Microsoft\Windows\INetCache\Content.Outlook\58IWGBWQ\[Timesheet Template (All Schools).xlsx]June - July '!#REF!,$M$9:$M$20,0)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10" id="{7C13D392-9725-4180-B344-68FB3DC7E2E3}">
            <xm:f>MATCH('D:\Users\youngt\AppData\Local\Microsoft\Windows\INetCache\Content.Outlook\58IWGBWQ\[Timesheet Template (All Schools).xlsx]June - July '!#REF!,$M$9:$N$20,0)</xm:f>
            <x14:dxf/>
          </x14:cfRule>
          <xm:sqref>Q9</xm:sqref>
        </x14:conditionalFormatting>
        <x14:conditionalFormatting xmlns:xm="http://schemas.microsoft.com/office/excel/2006/main">
          <x14:cfRule type="expression" priority="7" id="{9B9153C2-9103-4673-8784-C3F6BDC6688A}">
            <xm:f>MATCH('D:\Users\youngt\AppData\Local\Microsoft\Windows\INetCache\Content.Outlook\58IWGBWQ\[Timesheet Template (All Schools).xlsx]June - July '!#REF!,$M$9:$M$21,0)</xm:f>
            <x14:dxf/>
          </x14:cfRule>
          <xm:sqref>I6:K6</xm:sqref>
        </x14:conditionalFormatting>
        <x14:conditionalFormatting xmlns:xm="http://schemas.microsoft.com/office/excel/2006/main">
          <x14:cfRule type="expression" priority="6" id="{83DBB429-557E-48F9-9FE8-CC47D7115CD6}">
            <xm:f>MATCH('D:\Users\youngt\AppData\Local\Microsoft\Windows\INetCache\Content.Outlook\58IWGBWQ\[Timesheet Template (All Schools).xlsx]June - July '!#REF!,$M$9:$N$21,0)</xm:f>
            <x14:dxf/>
          </x14:cfRule>
          <xm:sqref>I6:K6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CAC9-7FA5-4257-9937-9A1B886A5BF8}">
  <sheetPr codeName="Sheet14"/>
  <dimension ref="A1:AX90"/>
  <sheetViews>
    <sheetView workbookViewId="0"/>
  </sheetViews>
  <sheetFormatPr defaultRowHeight="12.75" x14ac:dyDescent="0.2"/>
  <cols>
    <col min="1" max="1" width="12.42578125" style="1" bestFit="1" customWidth="1"/>
    <col min="2" max="2" width="32.5703125" style="1" bestFit="1" customWidth="1"/>
    <col min="3" max="4" width="2.5703125" style="21" customWidth="1"/>
    <col min="5" max="5" width="16.42578125" style="44" bestFit="1" customWidth="1"/>
    <col min="6" max="6" width="8.28515625" style="44" bestFit="1" customWidth="1"/>
    <col min="7" max="7" width="13.85546875" style="44" bestFit="1" customWidth="1"/>
    <col min="8" max="8" width="26.140625" style="44" bestFit="1" customWidth="1"/>
    <col min="9" max="9" width="2.7109375" style="1" customWidth="1"/>
    <col min="10" max="10" width="15.85546875" style="1" bestFit="1" customWidth="1"/>
    <col min="11" max="11" width="23.140625" style="1" bestFit="1" customWidth="1"/>
    <col min="12" max="12" width="10.5703125" style="1" bestFit="1" customWidth="1"/>
    <col min="13" max="13" width="11.140625" style="1" bestFit="1" customWidth="1"/>
    <col min="14" max="14" width="14.140625" style="1" bestFit="1" customWidth="1"/>
    <col min="15" max="15" width="9.28515625" style="1" bestFit="1" customWidth="1"/>
    <col min="16" max="16" width="16.42578125" style="1" bestFit="1" customWidth="1"/>
    <col min="17" max="17" width="8.28515625" style="1" bestFit="1" customWidth="1"/>
    <col min="18" max="18" width="13.85546875" style="1" bestFit="1" customWidth="1"/>
    <col min="19" max="19" width="23.5703125" style="1" bestFit="1" customWidth="1"/>
    <col min="20" max="20" width="2.5703125" style="1" customWidth="1"/>
    <col min="21" max="21" width="12.42578125" style="1" bestFit="1" customWidth="1"/>
    <col min="22" max="22" width="26.42578125" style="1" bestFit="1" customWidth="1"/>
    <col min="23" max="23" width="18.42578125" style="1" bestFit="1" customWidth="1"/>
    <col min="24" max="25" width="10.5703125" style="1" bestFit="1" customWidth="1"/>
    <col min="26" max="26" width="9.140625" style="1"/>
    <col min="27" max="27" width="16.42578125" style="1" bestFit="1" customWidth="1"/>
    <col min="28" max="28" width="8.28515625" style="1" bestFit="1" customWidth="1"/>
    <col min="29" max="29" width="13.85546875" style="1" bestFit="1" customWidth="1"/>
    <col min="30" max="30" width="51" style="1" bestFit="1" customWidth="1"/>
    <col min="31" max="31" width="3" style="1" bestFit="1" customWidth="1"/>
    <col min="32" max="32" width="12.42578125" style="1" bestFit="1" customWidth="1"/>
    <col min="33" max="33" width="26.42578125" style="1" bestFit="1" customWidth="1"/>
    <col min="34" max="34" width="18.42578125" style="1" bestFit="1" customWidth="1"/>
    <col min="35" max="35" width="10.5703125" style="1" bestFit="1" customWidth="1"/>
    <col min="36" max="36" width="14" style="1" bestFit="1" customWidth="1"/>
    <col min="37" max="37" width="9.140625" style="1"/>
    <col min="38" max="38" width="16.42578125" style="1" bestFit="1" customWidth="1"/>
    <col min="39" max="39" width="8.28515625" style="1" bestFit="1" customWidth="1"/>
    <col min="40" max="40" width="13.85546875" style="1" bestFit="1" customWidth="1"/>
    <col min="41" max="41" width="23.5703125" style="1" bestFit="1" customWidth="1"/>
    <col min="42" max="42" width="2.5703125" style="1" customWidth="1"/>
    <col min="43" max="43" width="17.85546875" style="1" bestFit="1" customWidth="1"/>
    <col min="44" max="44" width="26.42578125" style="1" bestFit="1" customWidth="1"/>
    <col min="45" max="45" width="23.28515625" style="1" bestFit="1" customWidth="1"/>
    <col min="46" max="46" width="16.7109375" style="1" bestFit="1" customWidth="1"/>
    <col min="47" max="47" width="12.28515625" style="1" bestFit="1" customWidth="1"/>
    <col min="48" max="48" width="10.5703125" style="1" bestFit="1" customWidth="1"/>
    <col min="49" max="16384" width="9.140625" style="1"/>
  </cols>
  <sheetData>
    <row r="1" spans="1:50" x14ac:dyDescent="0.2">
      <c r="A1" s="1">
        <v>1</v>
      </c>
      <c r="B1" s="1">
        <f t="shared" ref="B1:AV1" si="0">A1+1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1">
        <f t="shared" si="0"/>
        <v>9</v>
      </c>
      <c r="J1" s="1">
        <f t="shared" si="0"/>
        <v>10</v>
      </c>
      <c r="K1" s="1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1">
        <f t="shared" si="0"/>
        <v>34</v>
      </c>
      <c r="AI1" s="1">
        <f t="shared" si="0"/>
        <v>35</v>
      </c>
      <c r="AJ1" s="1">
        <f t="shared" si="0"/>
        <v>36</v>
      </c>
      <c r="AK1" s="1">
        <f t="shared" si="0"/>
        <v>37</v>
      </c>
      <c r="AL1" s="1">
        <f t="shared" si="0"/>
        <v>38</v>
      </c>
      <c r="AM1" s="1">
        <f t="shared" si="0"/>
        <v>39</v>
      </c>
      <c r="AN1" s="1">
        <f t="shared" si="0"/>
        <v>40</v>
      </c>
      <c r="AO1" s="1">
        <f t="shared" si="0"/>
        <v>41</v>
      </c>
      <c r="AP1" s="1">
        <f t="shared" si="0"/>
        <v>42</v>
      </c>
      <c r="AQ1" s="1">
        <f t="shared" si="0"/>
        <v>43</v>
      </c>
      <c r="AR1" s="1">
        <f t="shared" si="0"/>
        <v>44</v>
      </c>
      <c r="AS1" s="1">
        <f t="shared" si="0"/>
        <v>45</v>
      </c>
      <c r="AT1" s="1">
        <f t="shared" si="0"/>
        <v>46</v>
      </c>
      <c r="AU1" s="1">
        <f t="shared" si="0"/>
        <v>47</v>
      </c>
      <c r="AV1" s="1">
        <f t="shared" si="0"/>
        <v>48</v>
      </c>
    </row>
    <row r="2" spans="1:50" ht="15" customHeight="1" x14ac:dyDescent="0.2">
      <c r="E2" s="280" t="s">
        <v>77</v>
      </c>
      <c r="F2" s="280"/>
      <c r="G2" s="280"/>
      <c r="H2" s="280"/>
      <c r="J2" s="281" t="s">
        <v>50</v>
      </c>
      <c r="K2" s="281"/>
      <c r="L2" s="281"/>
      <c r="M2" s="281"/>
      <c r="N2" s="281"/>
      <c r="P2" s="280" t="s">
        <v>78</v>
      </c>
      <c r="Q2" s="280"/>
      <c r="R2" s="280"/>
      <c r="S2" s="280"/>
      <c r="U2" s="281" t="s">
        <v>52</v>
      </c>
      <c r="V2" s="281"/>
      <c r="W2" s="281"/>
      <c r="X2" s="281"/>
      <c r="Y2" s="281"/>
      <c r="AA2" s="280" t="s">
        <v>81</v>
      </c>
      <c r="AB2" s="280"/>
      <c r="AC2" s="280"/>
      <c r="AD2" s="280"/>
      <c r="AF2" s="281" t="s">
        <v>48</v>
      </c>
      <c r="AG2" s="281"/>
      <c r="AH2" s="281"/>
      <c r="AI2" s="281"/>
      <c r="AJ2" s="281"/>
      <c r="AL2" s="280" t="s">
        <v>83</v>
      </c>
      <c r="AM2" s="280"/>
      <c r="AN2" s="280"/>
      <c r="AO2" s="280"/>
      <c r="AQ2" s="281" t="s">
        <v>84</v>
      </c>
      <c r="AR2" s="281"/>
      <c r="AS2" s="281"/>
      <c r="AT2" s="281"/>
      <c r="AU2" s="281"/>
    </row>
    <row r="3" spans="1:50" x14ac:dyDescent="0.2">
      <c r="A3" s="45" t="s">
        <v>72</v>
      </c>
      <c r="B3" s="45" t="str">
        <f>Worksheet!K3</f>
        <v>Prairie City SD #4 Timesheet 2024-2025</v>
      </c>
      <c r="D3" s="52" t="s">
        <v>110</v>
      </c>
      <c r="E3" s="46" t="s">
        <v>56</v>
      </c>
      <c r="F3" s="46" t="s">
        <v>73</v>
      </c>
      <c r="G3" s="47" t="s">
        <v>74</v>
      </c>
      <c r="H3" s="46" t="s">
        <v>75</v>
      </c>
      <c r="J3" s="1" t="s">
        <v>57</v>
      </c>
      <c r="K3" s="1" t="s">
        <v>58</v>
      </c>
      <c r="L3" s="1" t="s">
        <v>59</v>
      </c>
      <c r="M3" s="1" t="s">
        <v>60</v>
      </c>
      <c r="N3" s="1" t="s">
        <v>68</v>
      </c>
      <c r="P3" s="46" t="s">
        <v>56</v>
      </c>
      <c r="Q3" s="46" t="s">
        <v>73</v>
      </c>
      <c r="R3" s="47" t="s">
        <v>74</v>
      </c>
      <c r="S3" s="46" t="s">
        <v>75</v>
      </c>
      <c r="U3" s="1" t="s">
        <v>57</v>
      </c>
      <c r="V3" s="1" t="s">
        <v>58</v>
      </c>
      <c r="W3" s="1" t="s">
        <v>59</v>
      </c>
      <c r="X3" s="1" t="s">
        <v>60</v>
      </c>
      <c r="Y3" s="1" t="s">
        <v>68</v>
      </c>
      <c r="AA3" s="46" t="s">
        <v>56</v>
      </c>
      <c r="AB3" s="46" t="s">
        <v>73</v>
      </c>
      <c r="AC3" s="47" t="s">
        <v>74</v>
      </c>
      <c r="AD3" s="46" t="s">
        <v>75</v>
      </c>
      <c r="AF3" s="1" t="s">
        <v>57</v>
      </c>
      <c r="AG3" s="1" t="s">
        <v>58</v>
      </c>
      <c r="AH3" s="1" t="s">
        <v>59</v>
      </c>
      <c r="AI3" s="1" t="s">
        <v>60</v>
      </c>
      <c r="AJ3" s="1" t="s">
        <v>68</v>
      </c>
      <c r="AL3" s="46" t="s">
        <v>56</v>
      </c>
      <c r="AM3" s="46" t="s">
        <v>73</v>
      </c>
      <c r="AN3" s="47" t="s">
        <v>74</v>
      </c>
      <c r="AO3" s="46" t="s">
        <v>75</v>
      </c>
      <c r="AQ3" s="1" t="s">
        <v>57</v>
      </c>
      <c r="AR3" s="1" t="s">
        <v>58</v>
      </c>
      <c r="AS3" s="1" t="s">
        <v>59</v>
      </c>
      <c r="AT3" s="1" t="s">
        <v>60</v>
      </c>
      <c r="AU3" s="1" t="s">
        <v>68</v>
      </c>
      <c r="AV3" s="1" t="s">
        <v>88</v>
      </c>
      <c r="AW3" s="1" t="s">
        <v>111</v>
      </c>
      <c r="AX3" s="1" t="s">
        <v>112</v>
      </c>
    </row>
    <row r="4" spans="1:50" ht="15" customHeight="1" x14ac:dyDescent="0.25">
      <c r="A4" s="48" t="s">
        <v>57</v>
      </c>
      <c r="B4" s="48" t="str">
        <f t="array" ref="B4">IF(B11="","",IFERROR(IF($B$3=Worksheet!$K$3,VLOOKUP('EE Info'!$B$11&amp;"*",Table43[],1,FALSE),IF($B$3=Worksheet!$K$4,VLOOKUP('EE Info'!$B$11&amp;"*",Table4312[],1,FALSE),IF($B$3=Worksheet!$K$2,VLOOKUP('EE Info'!$B$11&amp;"*",ESDPosition[],1,FALSE),IF($B$3=Worksheet!$K$5,VLOOKUP('EE Info'!$B$11&amp;"*",DAYPosition[],1,FALSE),"")))),""))</f>
        <v/>
      </c>
      <c r="D4" s="64"/>
      <c r="E4" s="49"/>
      <c r="F4" s="90"/>
      <c r="G4" s="90"/>
      <c r="H4" s="90"/>
      <c r="J4" s="53" t="str">
        <f>IFERROR(INDEX(Table54[Name],_xlfn.AGGREGATE(15,6,(ROW(Table54[Name])-MIN(ROW(Table54[Name]))+1)/(Table54[Name]&lt;&gt;"")/(ISNA(MATCH(Table54[Name],$J$3:J3,0))),1)),"")</f>
        <v/>
      </c>
      <c r="K4" s="44">
        <f t="shared" ref="K4:N23" si="1">IF(COLUMN()-$J$1&lt;=COUNTIF($E$4:$E$62,$J4),INDEX($H$4:$H$62,MATCH($J4,$E$4:$E$62,0)+COLUMN()-$K$1),"")</f>
        <v>0</v>
      </c>
      <c r="L4" s="44">
        <f t="shared" si="1"/>
        <v>0</v>
      </c>
      <c r="M4" s="44">
        <f t="shared" si="1"/>
        <v>0</v>
      </c>
      <c r="N4" s="44">
        <f t="shared" si="1"/>
        <v>0</v>
      </c>
      <c r="P4" s="49"/>
      <c r="Q4" s="49"/>
      <c r="R4" s="49"/>
      <c r="S4" s="49"/>
      <c r="U4" s="53" t="str">
        <f>IFERROR(INDEX(MONEEInfo[Name],_xlfn.AGGREGATE(15,6,(ROW(MONEEInfo[Name])-MIN(ROW(MONEEInfo[Name]))+1)/(MONEEInfo[Name]&lt;&gt;"")/(ISNA(MATCH(MONEEInfo[Name],$U$3:U3,0))),1)),"")</f>
        <v/>
      </c>
      <c r="V4" s="44">
        <f t="shared" ref="V4:Y23" si="2">IF(COLUMN()-$U$1&lt;=COUNTIF($P$4:$P$62,$U4),INDEX($S$4:$S$62,MATCH($U4,$P$4:$P$62,0)+COLUMN()-$V$1),"")</f>
        <v>0</v>
      </c>
      <c r="W4" s="44">
        <f t="shared" si="2"/>
        <v>0</v>
      </c>
      <c r="X4" s="44">
        <f t="shared" si="2"/>
        <v>0</v>
      </c>
      <c r="Y4" s="44">
        <f t="shared" si="2"/>
        <v>0</v>
      </c>
      <c r="AA4" s="49"/>
      <c r="AB4" s="49"/>
      <c r="AC4" s="49"/>
      <c r="AD4" s="49"/>
      <c r="AF4" s="53" t="str">
        <f>IFERROR(INDEX(ESDEEInfo[Name],_xlfn.AGGREGATE(15,6,(ROW(ESDEEInfo[Name])-MIN(ROW(ESDEEInfo[Name]))+1)/(ESDEEInfo[Name]&lt;&gt;"")/(ISNA(MATCH(ESDEEInfo[Name],$AF$3:AF3,0))),1)),"")</f>
        <v/>
      </c>
      <c r="AG4" s="44">
        <f t="shared" ref="AG4:AJ23" si="3">IFERROR(IF(COLUMN()-$AF$1&lt;=COUNTIF($AA$4:$AA$62,$AF4),INDEX($AD$4:$AD$62,MATCH($AF4,$AA$4:$AA$62,0)+COLUMN()-$AG$1),""),"")</f>
        <v>0</v>
      </c>
      <c r="AH4" s="44">
        <f t="shared" si="3"/>
        <v>0</v>
      </c>
      <c r="AI4" s="44">
        <f t="shared" si="3"/>
        <v>0</v>
      </c>
      <c r="AJ4" s="44">
        <f t="shared" si="3"/>
        <v>0</v>
      </c>
      <c r="AL4" s="49"/>
      <c r="AM4" s="49"/>
      <c r="AN4" s="49"/>
      <c r="AO4" s="49"/>
      <c r="AQ4" s="53" t="str">
        <f t="array" ref="AQ4">IFERROR(INDEX(DAYEEInfo[Name],_xlfn.AGGREGATE(15,6,(ROW(DAYEEInfo[Name])-MIN(ROW(DAYEEInfo[Name]))+1)/(DAYEEInfo[Name]&lt;&gt;"")/(ISNA(MATCH(DAYEEInfo[Name],$AQ$3:AQ3,0))),1)),"")</f>
        <v xml:space="preserve"> </v>
      </c>
      <c r="AR4" s="44" t="str">
        <f t="shared" ref="AR4:AX23" si="4">IFERROR(IF(COLUMN()-$AQ$1&lt;=COUNTIF($AL$4:$AL$62,$AQ4),INDEX($AO$4:$AO$62,MATCH($AQ4,$AL$4:$AL$62,0)+COLUMN()-$AR$1),""),"")</f>
        <v/>
      </c>
      <c r="AS4" s="44" t="str">
        <f t="shared" si="4"/>
        <v/>
      </c>
      <c r="AT4" s="44" t="str">
        <f t="shared" si="4"/>
        <v/>
      </c>
      <c r="AU4" s="44" t="str">
        <f t="shared" si="4"/>
        <v/>
      </c>
      <c r="AV4" s="102" t="str">
        <f t="shared" si="4"/>
        <v/>
      </c>
      <c r="AW4" s="102" t="str">
        <f t="shared" si="4"/>
        <v/>
      </c>
      <c r="AX4" s="102" t="str">
        <f t="shared" si="4"/>
        <v/>
      </c>
    </row>
    <row r="5" spans="1:50" ht="15" customHeight="1" x14ac:dyDescent="0.25">
      <c r="A5" s="45" t="s">
        <v>58</v>
      </c>
      <c r="B5" s="45" t="str">
        <f t="array" ref="B5">IF(B11="","",IFERROR(IF($B$3=Worksheet!$K$3,VLOOKUP('EE Info'!$B$11&amp;"*",Table43[],2,FALSE),IF($B$3=Worksheet!$K$4,VLOOKUP('EE Info'!$B$11&amp;"*",Table4312[],2,FALSE),IF($B$3=Worksheet!$K$2,VLOOKUP('EE Info'!$B$11&amp;"*",ESDPosition[],2,FALSE),IF($B$3=Worksheet!$K$5,VLOOKUP('EE Info'!$B$11&amp;"*",DAYPosition[],2,FALSE),"")))),""))</f>
        <v/>
      </c>
      <c r="D5" s="64"/>
      <c r="E5" s="49"/>
      <c r="F5" s="90"/>
      <c r="G5" s="90"/>
      <c r="H5" s="90"/>
      <c r="J5" s="53" t="str">
        <f>IFERROR(INDEX(Table54[Name],_xlfn.AGGREGATE(15,6,(ROW(Table54[Name])-MIN(ROW(Table54[Name]))+1)/(Table54[Name]&lt;&gt;"")/(ISNA(MATCH(Table54[Name],$J$3:J4,0))),1)),"")</f>
        <v/>
      </c>
      <c r="K5" s="44">
        <f t="shared" si="1"/>
        <v>0</v>
      </c>
      <c r="L5" s="44">
        <f t="shared" si="1"/>
        <v>0</v>
      </c>
      <c r="M5" s="44">
        <f t="shared" si="1"/>
        <v>0</v>
      </c>
      <c r="N5" s="44">
        <f t="shared" si="1"/>
        <v>0</v>
      </c>
      <c r="P5" s="49"/>
      <c r="Q5" s="49"/>
      <c r="R5" s="49"/>
      <c r="S5" s="49"/>
      <c r="U5" s="53" t="str">
        <f>IFERROR(INDEX(MONEEInfo[Name],_xlfn.AGGREGATE(15,6,(ROW(MONEEInfo[Name])-MIN(ROW(MONEEInfo[Name]))+1)/(MONEEInfo[Name]&lt;&gt;"")/(ISNA(MATCH(MONEEInfo[Name],$U$3:U4,0))),1)),"")</f>
        <v/>
      </c>
      <c r="V5" s="44">
        <f t="shared" si="2"/>
        <v>0</v>
      </c>
      <c r="W5" s="44">
        <f t="shared" si="2"/>
        <v>0</v>
      </c>
      <c r="X5" s="44">
        <f t="shared" si="2"/>
        <v>0</v>
      </c>
      <c r="Y5" s="44">
        <f t="shared" si="2"/>
        <v>0</v>
      </c>
      <c r="AA5" s="49"/>
      <c r="AB5" s="49"/>
      <c r="AC5" s="49"/>
      <c r="AD5" s="49"/>
      <c r="AF5" s="53" t="str">
        <f>IFERROR(INDEX(ESDEEInfo[Name],_xlfn.AGGREGATE(15,6,(ROW(ESDEEInfo[Name])-MIN(ROW(ESDEEInfo[Name]))+1)/(ESDEEInfo[Name]&lt;&gt;"")/(ISNA(MATCH(ESDEEInfo[Name],$AF$3:AF4,0))),1)),"")</f>
        <v/>
      </c>
      <c r="AG5" s="44">
        <f t="shared" si="3"/>
        <v>0</v>
      </c>
      <c r="AH5" s="44">
        <f t="shared" si="3"/>
        <v>0</v>
      </c>
      <c r="AI5" s="44">
        <f t="shared" si="3"/>
        <v>0</v>
      </c>
      <c r="AJ5" s="44">
        <f t="shared" si="3"/>
        <v>0</v>
      </c>
      <c r="AL5" s="49"/>
      <c r="AM5" s="49"/>
      <c r="AN5" s="49"/>
      <c r="AO5" s="49"/>
      <c r="AQ5" s="53" t="str">
        <f t="array" ref="AQ5">IFERROR(INDEX(DAYEEInfo[Name],_xlfn.AGGREGATE(15,6,(ROW(DAYEEInfo[Name])-MIN(ROW(DAYEEInfo[Name]))+1)/(DAYEEInfo[Name]&lt;&gt;"")/(ISNA(MATCH(DAYEEInfo[Name],$AQ$3:AQ4,0))),1)),"")</f>
        <v/>
      </c>
      <c r="AR5" s="44" t="str">
        <f t="shared" si="4"/>
        <v/>
      </c>
      <c r="AS5" s="44" t="str">
        <f t="shared" si="4"/>
        <v/>
      </c>
      <c r="AT5" s="44" t="str">
        <f t="shared" si="4"/>
        <v/>
      </c>
      <c r="AU5" s="44" t="str">
        <f t="shared" si="4"/>
        <v/>
      </c>
      <c r="AV5" s="102" t="str">
        <f t="shared" si="4"/>
        <v/>
      </c>
      <c r="AW5" s="102" t="str">
        <f t="shared" si="4"/>
        <v/>
      </c>
      <c r="AX5" s="102" t="str">
        <f t="shared" si="4"/>
        <v/>
      </c>
    </row>
    <row r="6" spans="1:50" ht="15" customHeight="1" x14ac:dyDescent="0.25">
      <c r="A6" s="48" t="s">
        <v>59</v>
      </c>
      <c r="B6" s="48" t="str">
        <f t="array" ref="B6">IF(B11="","",IFERROR(IF($B$3=Worksheet!$K$3,VLOOKUP('EE Info'!$B$11&amp;"*",Table43[],3,FALSE),IF($B$3=Worksheet!$K$4,VLOOKUP('EE Info'!$B$11&amp;"*",Table4312[],3,FALSE),IF($B$3=Worksheet!$K$2,VLOOKUP('EE Info'!$B$11&amp;"*",ESDPosition[],3,FALSE),IF($B$3=Worksheet!$K$5,VLOOKUP('EE Info'!$B$11&amp;"*",DAYPosition[],3,FALSE),"")))),""))</f>
        <v/>
      </c>
      <c r="D6" s="64"/>
      <c r="E6" s="49"/>
      <c r="F6" s="90"/>
      <c r="G6" s="90"/>
      <c r="H6" s="90"/>
      <c r="J6" s="53" t="str">
        <f>IFERROR(INDEX(Table54[Name],_xlfn.AGGREGATE(15,6,(ROW(Table54[Name])-MIN(ROW(Table54[Name]))+1)/(Table54[Name]&lt;&gt;"")/(ISNA(MATCH(Table54[Name],$J$3:J5,0))),1)),"")</f>
        <v/>
      </c>
      <c r="K6" s="44">
        <f t="shared" si="1"/>
        <v>0</v>
      </c>
      <c r="L6" s="44">
        <f t="shared" si="1"/>
        <v>0</v>
      </c>
      <c r="M6" s="44">
        <f t="shared" si="1"/>
        <v>0</v>
      </c>
      <c r="N6" s="44">
        <f t="shared" si="1"/>
        <v>0</v>
      </c>
      <c r="P6" s="49"/>
      <c r="Q6" s="49"/>
      <c r="R6" s="49"/>
      <c r="S6" s="49"/>
      <c r="U6" s="53" t="str">
        <f>IFERROR(INDEX(MONEEInfo[Name],_xlfn.AGGREGATE(15,6,(ROW(MONEEInfo[Name])-MIN(ROW(MONEEInfo[Name]))+1)/(MONEEInfo[Name]&lt;&gt;"")/(ISNA(MATCH(MONEEInfo[Name],$U$3:U5,0))),1)),"")</f>
        <v/>
      </c>
      <c r="V6" s="44">
        <f t="shared" si="2"/>
        <v>0</v>
      </c>
      <c r="W6" s="44">
        <f t="shared" si="2"/>
        <v>0</v>
      </c>
      <c r="X6" s="44">
        <f t="shared" si="2"/>
        <v>0</v>
      </c>
      <c r="Y6" s="44">
        <f t="shared" si="2"/>
        <v>0</v>
      </c>
      <c r="AA6" s="49"/>
      <c r="AB6" s="49"/>
      <c r="AC6" s="49"/>
      <c r="AD6" s="49"/>
      <c r="AF6" s="53" t="str">
        <f>IFERROR(INDEX(ESDEEInfo[Name],_xlfn.AGGREGATE(15,6,(ROW(ESDEEInfo[Name])-MIN(ROW(ESDEEInfo[Name]))+1)/(ESDEEInfo[Name]&lt;&gt;"")/(ISNA(MATCH(ESDEEInfo[Name],$AF$3:AF5,0))),1)),"")</f>
        <v/>
      </c>
      <c r="AG6" s="44">
        <f t="shared" si="3"/>
        <v>0</v>
      </c>
      <c r="AH6" s="44">
        <f t="shared" si="3"/>
        <v>0</v>
      </c>
      <c r="AI6" s="44">
        <f t="shared" si="3"/>
        <v>0</v>
      </c>
      <c r="AJ6" s="44">
        <f t="shared" si="3"/>
        <v>0</v>
      </c>
      <c r="AL6" s="49"/>
      <c r="AM6" s="49"/>
      <c r="AN6" s="49"/>
      <c r="AO6" s="49"/>
      <c r="AQ6" s="53" t="str">
        <f t="array" ref="AQ6">IFERROR(INDEX(DAYEEInfo[Name],_xlfn.AGGREGATE(15,6,(ROW(DAYEEInfo[Name])-MIN(ROW(DAYEEInfo[Name]))+1)/(DAYEEInfo[Name]&lt;&gt;"")/(ISNA(MATCH(DAYEEInfo[Name],$AQ$3:AQ5,0))),1)),"")</f>
        <v/>
      </c>
      <c r="AR6" s="44" t="str">
        <f t="shared" si="4"/>
        <v/>
      </c>
      <c r="AS6" s="44" t="str">
        <f t="shared" si="4"/>
        <v/>
      </c>
      <c r="AT6" s="44" t="str">
        <f t="shared" si="4"/>
        <v/>
      </c>
      <c r="AU6" s="44" t="str">
        <f t="shared" si="4"/>
        <v/>
      </c>
      <c r="AV6" s="102" t="str">
        <f t="shared" si="4"/>
        <v/>
      </c>
      <c r="AW6" s="102" t="str">
        <f t="shared" si="4"/>
        <v/>
      </c>
      <c r="AX6" s="102" t="str">
        <f t="shared" si="4"/>
        <v/>
      </c>
    </row>
    <row r="7" spans="1:50" ht="15" customHeight="1" x14ac:dyDescent="0.25">
      <c r="A7" s="45" t="s">
        <v>60</v>
      </c>
      <c r="B7" s="45" t="str">
        <f t="array" ref="B7">IF(B11="","",IFERROR(IF($B$3=Worksheet!$K$3,VLOOKUP('EE Info'!$B$11&amp;"*",Table43[],4,FALSE),IF($B$3=Worksheet!$K$4,VLOOKUP('EE Info'!$B$11&amp;"*",Table4312[],4,FALSE),IF($B$3=Worksheet!$K$2,VLOOKUP('EE Info'!$B$11&amp;"*",ESDPosition[],4,FALSE),IF($B$3=Worksheet!$K$5,VLOOKUP('EE Info'!$B$11&amp;"*",DAYPosition[],4,FALSE),"")))),""))</f>
        <v/>
      </c>
      <c r="C7" s="1"/>
      <c r="D7" s="64"/>
      <c r="E7" s="49"/>
      <c r="F7" s="90"/>
      <c r="G7" s="90"/>
      <c r="H7" s="90"/>
      <c r="J7" s="53" t="str">
        <f>IFERROR(INDEX(Table54[Name],_xlfn.AGGREGATE(15,6,(ROW(Table54[Name])-MIN(ROW(Table54[Name]))+1)/(Table54[Name]&lt;&gt;"")/(ISNA(MATCH(Table54[Name],$J$3:J6,0))),1)),"")</f>
        <v/>
      </c>
      <c r="K7" s="44">
        <f t="shared" si="1"/>
        <v>0</v>
      </c>
      <c r="L7" s="44">
        <f t="shared" si="1"/>
        <v>0</v>
      </c>
      <c r="M7" s="44">
        <f t="shared" si="1"/>
        <v>0</v>
      </c>
      <c r="N7" s="44">
        <f t="shared" si="1"/>
        <v>0</v>
      </c>
      <c r="P7" s="49"/>
      <c r="Q7" s="49"/>
      <c r="R7" s="49"/>
      <c r="S7" s="49"/>
      <c r="U7" s="53" t="str">
        <f>IFERROR(INDEX(MONEEInfo[Name],_xlfn.AGGREGATE(15,6,(ROW(MONEEInfo[Name])-MIN(ROW(MONEEInfo[Name]))+1)/(MONEEInfo[Name]&lt;&gt;"")/(ISNA(MATCH(MONEEInfo[Name],$U$3:U6,0))),1)),"")</f>
        <v/>
      </c>
      <c r="V7" s="44">
        <f t="shared" si="2"/>
        <v>0</v>
      </c>
      <c r="W7" s="44">
        <f t="shared" si="2"/>
        <v>0</v>
      </c>
      <c r="X7" s="44">
        <f t="shared" si="2"/>
        <v>0</v>
      </c>
      <c r="Y7" s="44">
        <f t="shared" si="2"/>
        <v>0</v>
      </c>
      <c r="AA7" s="49"/>
      <c r="AB7" s="49"/>
      <c r="AC7" s="49"/>
      <c r="AD7" s="49"/>
      <c r="AF7" s="53" t="str">
        <f>IFERROR(INDEX(ESDEEInfo[Name],_xlfn.AGGREGATE(15,6,(ROW(ESDEEInfo[Name])-MIN(ROW(ESDEEInfo[Name]))+1)/(ESDEEInfo[Name]&lt;&gt;"")/(ISNA(MATCH(ESDEEInfo[Name],$AF$3:AF6,0))),1)),"")</f>
        <v/>
      </c>
      <c r="AG7" s="44">
        <f t="shared" si="3"/>
        <v>0</v>
      </c>
      <c r="AH7" s="44">
        <f t="shared" si="3"/>
        <v>0</v>
      </c>
      <c r="AI7" s="44">
        <f t="shared" si="3"/>
        <v>0</v>
      </c>
      <c r="AJ7" s="44">
        <f t="shared" si="3"/>
        <v>0</v>
      </c>
      <c r="AL7" s="49"/>
      <c r="AM7" s="49"/>
      <c r="AN7" s="49"/>
      <c r="AO7" s="49"/>
      <c r="AQ7" s="53" t="str">
        <f t="array" ref="AQ7">IFERROR(INDEX(DAYEEInfo[Name],_xlfn.AGGREGATE(15,6,(ROW(DAYEEInfo[Name])-MIN(ROW(DAYEEInfo[Name]))+1)/(DAYEEInfo[Name]&lt;&gt;"")/(ISNA(MATCH(DAYEEInfo[Name],$AQ$3:AQ6,0))),1)),"")</f>
        <v/>
      </c>
      <c r="AR7" s="44" t="str">
        <f t="shared" si="4"/>
        <v/>
      </c>
      <c r="AS7" s="44" t="str">
        <f t="shared" si="4"/>
        <v/>
      </c>
      <c r="AT7" s="44" t="str">
        <f t="shared" si="4"/>
        <v/>
      </c>
      <c r="AU7" s="44" t="str">
        <f t="shared" si="4"/>
        <v/>
      </c>
      <c r="AV7" s="102" t="str">
        <f t="shared" si="4"/>
        <v/>
      </c>
      <c r="AW7" s="102" t="str">
        <f t="shared" si="4"/>
        <v/>
      </c>
      <c r="AX7" s="102" t="str">
        <f t="shared" si="4"/>
        <v/>
      </c>
    </row>
    <row r="8" spans="1:50" ht="15" customHeight="1" x14ac:dyDescent="0.25">
      <c r="A8" s="48" t="s">
        <v>68</v>
      </c>
      <c r="B8" s="48" t="str">
        <f t="array" ref="B8">IF(B11="","",IFERROR(IF($B$3=Worksheet!$K$3,VLOOKUP('EE Info'!$B$11&amp;"*",Table43[],5,FALSE),IF($B$3=Worksheet!$K$4,VLOOKUP('EE Info'!$B$11&amp;"*",Table4312[],5,FALSE),IF($B$3=Worksheet!$K$2,VLOOKUP('EE Info'!$B$11&amp;"*",ESDPosition[],5,FALSE),IF($B$3=Worksheet!$K$5,VLOOKUP('EE Info'!$B$11&amp;"*",DAYPosition[],5,FALSE),"")))),""))</f>
        <v/>
      </c>
      <c r="C8" s="1"/>
      <c r="D8" s="64"/>
      <c r="E8" s="49"/>
      <c r="F8" s="90"/>
      <c r="G8" s="90"/>
      <c r="H8" s="90"/>
      <c r="J8" s="53" t="str">
        <f>IFERROR(INDEX(Table54[Name],_xlfn.AGGREGATE(15,6,(ROW(Table54[Name])-MIN(ROW(Table54[Name]))+1)/(Table54[Name]&lt;&gt;"")/(ISNA(MATCH(Table54[Name],$J$3:J7,0))),1)),"")</f>
        <v/>
      </c>
      <c r="K8" s="44">
        <f t="shared" si="1"/>
        <v>0</v>
      </c>
      <c r="L8" s="44">
        <f t="shared" si="1"/>
        <v>0</v>
      </c>
      <c r="M8" s="44">
        <f t="shared" si="1"/>
        <v>0</v>
      </c>
      <c r="N8" s="44">
        <f t="shared" si="1"/>
        <v>0</v>
      </c>
      <c r="P8" s="49"/>
      <c r="Q8" s="49"/>
      <c r="R8" s="49"/>
      <c r="S8" s="49"/>
      <c r="U8" s="53" t="str">
        <f>IFERROR(INDEX(MONEEInfo[Name],_xlfn.AGGREGATE(15,6,(ROW(MONEEInfo[Name])-MIN(ROW(MONEEInfo[Name]))+1)/(MONEEInfo[Name]&lt;&gt;"")/(ISNA(MATCH(MONEEInfo[Name],$U$3:U7,0))),1)),"")</f>
        <v/>
      </c>
      <c r="V8" s="44">
        <f t="shared" si="2"/>
        <v>0</v>
      </c>
      <c r="W8" s="44">
        <f t="shared" si="2"/>
        <v>0</v>
      </c>
      <c r="X8" s="44">
        <f t="shared" si="2"/>
        <v>0</v>
      </c>
      <c r="Y8" s="44">
        <f t="shared" si="2"/>
        <v>0</v>
      </c>
      <c r="AA8" s="49"/>
      <c r="AB8" s="49"/>
      <c r="AC8" s="49"/>
      <c r="AD8" s="49"/>
      <c r="AF8" s="53" t="str">
        <f>IFERROR(INDEX(ESDEEInfo[Name],_xlfn.AGGREGATE(15,6,(ROW(ESDEEInfo[Name])-MIN(ROW(ESDEEInfo[Name]))+1)/(ESDEEInfo[Name]&lt;&gt;"")/(ISNA(MATCH(ESDEEInfo[Name],$AF$3:AF7,0))),1)),"")</f>
        <v/>
      </c>
      <c r="AG8" s="44">
        <f t="shared" si="3"/>
        <v>0</v>
      </c>
      <c r="AH8" s="44">
        <f t="shared" si="3"/>
        <v>0</v>
      </c>
      <c r="AI8" s="44">
        <f t="shared" si="3"/>
        <v>0</v>
      </c>
      <c r="AJ8" s="44">
        <f t="shared" si="3"/>
        <v>0</v>
      </c>
      <c r="AL8" s="49"/>
      <c r="AM8" s="49"/>
      <c r="AN8" s="49"/>
      <c r="AO8" s="49"/>
      <c r="AQ8" s="53" t="str">
        <f t="array" ref="AQ8">IFERROR(INDEX(DAYEEInfo[Name],_xlfn.AGGREGATE(15,6,(ROW(DAYEEInfo[Name])-MIN(ROW(DAYEEInfo[Name]))+1)/(DAYEEInfo[Name]&lt;&gt;"")/(ISNA(MATCH(DAYEEInfo[Name],$AQ$3:AQ7,0))),1)),"")</f>
        <v/>
      </c>
      <c r="AR8" s="44" t="str">
        <f t="shared" si="4"/>
        <v/>
      </c>
      <c r="AS8" s="44" t="str">
        <f t="shared" si="4"/>
        <v/>
      </c>
      <c r="AT8" s="44" t="str">
        <f t="shared" si="4"/>
        <v/>
      </c>
      <c r="AU8" s="44" t="str">
        <f t="shared" si="4"/>
        <v/>
      </c>
      <c r="AV8" s="102" t="str">
        <f t="shared" si="4"/>
        <v/>
      </c>
      <c r="AW8" s="102" t="str">
        <f t="shared" si="4"/>
        <v/>
      </c>
      <c r="AX8" s="102" t="str">
        <f t="shared" si="4"/>
        <v/>
      </c>
    </row>
    <row r="9" spans="1:50" ht="15" customHeight="1" x14ac:dyDescent="0.25">
      <c r="A9" s="45" t="s">
        <v>88</v>
      </c>
      <c r="B9" s="45" t="str">
        <f t="array" ref="B9">IFERROR(IF($B$3=Worksheet!$K$3,VLOOKUP('EE Info'!$B$11&amp;"*",Table43[],6,FALSE),IF($B$3=Worksheet!$K$4,VLOOKUP('EE Info'!$B$11&amp;"*",Table4312[],6,FALSE),IF($B$3=Worksheet!$K$2,VLOOKUP('EE Info'!$B$11&amp;"*",ESDPosition[],6,FALSE),IF($B$3=Worksheet!$K$5,VLOOKUP('EE Info'!$B$11&amp;"*",DAYPosition[],6,FALSE),"")))),"")</f>
        <v/>
      </c>
      <c r="C9" s="1"/>
      <c r="D9" s="64"/>
      <c r="E9" s="49"/>
      <c r="F9" s="90"/>
      <c r="G9" s="90"/>
      <c r="H9" s="90"/>
      <c r="J9" s="53" t="str">
        <f>IFERROR(INDEX(Table54[Name],_xlfn.AGGREGATE(15,6,(ROW(Table54[Name])-MIN(ROW(Table54[Name]))+1)/(Table54[Name]&lt;&gt;"")/(ISNA(MATCH(Table54[Name],$J$3:J8,0))),1)),"")</f>
        <v/>
      </c>
      <c r="K9" s="44">
        <f t="shared" si="1"/>
        <v>0</v>
      </c>
      <c r="L9" s="44">
        <f t="shared" si="1"/>
        <v>0</v>
      </c>
      <c r="M9" s="44">
        <f t="shared" si="1"/>
        <v>0</v>
      </c>
      <c r="N9" s="44">
        <f t="shared" si="1"/>
        <v>0</v>
      </c>
      <c r="P9" s="49"/>
      <c r="Q9" s="49"/>
      <c r="R9" s="49"/>
      <c r="S9" s="49"/>
      <c r="U9" s="53" t="str">
        <f>IFERROR(INDEX(MONEEInfo[Name],_xlfn.AGGREGATE(15,6,(ROW(MONEEInfo[Name])-MIN(ROW(MONEEInfo[Name]))+1)/(MONEEInfo[Name]&lt;&gt;"")/(ISNA(MATCH(MONEEInfo[Name],$U$3:U8,0))),1)),"")</f>
        <v/>
      </c>
      <c r="V9" s="44">
        <f t="shared" si="2"/>
        <v>0</v>
      </c>
      <c r="W9" s="44">
        <f t="shared" si="2"/>
        <v>0</v>
      </c>
      <c r="X9" s="44">
        <f t="shared" si="2"/>
        <v>0</v>
      </c>
      <c r="Y9" s="44">
        <f t="shared" si="2"/>
        <v>0</v>
      </c>
      <c r="AA9" s="49"/>
      <c r="AB9" s="49"/>
      <c r="AC9" s="49"/>
      <c r="AD9" s="49"/>
      <c r="AF9" s="53" t="str">
        <f>IFERROR(INDEX(ESDEEInfo[Name],_xlfn.AGGREGATE(15,6,(ROW(ESDEEInfo[Name])-MIN(ROW(ESDEEInfo[Name]))+1)/(ESDEEInfo[Name]&lt;&gt;"")/(ISNA(MATCH(ESDEEInfo[Name],$AF$3:AF8,0))),1)),"")</f>
        <v/>
      </c>
      <c r="AG9" s="44">
        <f t="shared" si="3"/>
        <v>0</v>
      </c>
      <c r="AH9" s="44">
        <f t="shared" si="3"/>
        <v>0</v>
      </c>
      <c r="AI9" s="44">
        <f t="shared" si="3"/>
        <v>0</v>
      </c>
      <c r="AJ9" s="44">
        <f t="shared" si="3"/>
        <v>0</v>
      </c>
      <c r="AL9" s="49"/>
      <c r="AM9" s="49"/>
      <c r="AN9" s="49"/>
      <c r="AO9" s="49"/>
      <c r="AQ9" s="53" t="str">
        <f t="array" ref="AQ9">IFERROR(INDEX(DAYEEInfo[Name],_xlfn.AGGREGATE(15,6,(ROW(DAYEEInfo[Name])-MIN(ROW(DAYEEInfo[Name]))+1)/(DAYEEInfo[Name]&lt;&gt;"")/(ISNA(MATCH(DAYEEInfo[Name],$AQ$3:AQ8,0))),1)),"")</f>
        <v/>
      </c>
      <c r="AR9" s="44" t="str">
        <f t="shared" si="4"/>
        <v/>
      </c>
      <c r="AS9" s="44" t="str">
        <f t="shared" si="4"/>
        <v/>
      </c>
      <c r="AT9" s="44" t="str">
        <f t="shared" si="4"/>
        <v/>
      </c>
      <c r="AU9" s="44" t="str">
        <f t="shared" si="4"/>
        <v/>
      </c>
      <c r="AV9" s="102" t="str">
        <f t="shared" si="4"/>
        <v/>
      </c>
      <c r="AW9" s="102" t="str">
        <f t="shared" si="4"/>
        <v/>
      </c>
      <c r="AX9" s="102" t="str">
        <f t="shared" si="4"/>
        <v/>
      </c>
    </row>
    <row r="10" spans="1:50" ht="15" customHeight="1" x14ac:dyDescent="0.25">
      <c r="A10" s="48" t="s">
        <v>111</v>
      </c>
      <c r="B10" s="48" t="str">
        <f>IFERROR(IF($B$3=Worksheet!$K$3,VLOOKUP('EE Info'!$B$11&amp;"*",Table43[],7,FALSE),IF($B$3=Worksheet!$K$4,VLOOKUP('EE Info'!$B$11&amp;"*",Table4312[],7,FALSE),IF($B$3=Worksheet!$K$2,VLOOKUP('EE Info'!$B$11&amp;"*",ESDPosition[],7,FALSE),IF($B$3=Worksheet!$K$5,VLOOKUP('EE Info'!$B$11&amp;"*",DAYPosition[],7,FALSE),"")))),"")</f>
        <v/>
      </c>
      <c r="C10" s="1"/>
      <c r="D10" s="64"/>
      <c r="E10" s="49"/>
      <c r="F10" s="90"/>
      <c r="G10" s="90"/>
      <c r="H10" s="90"/>
      <c r="J10" s="53" t="str">
        <f>IFERROR(INDEX(Table54[Name],_xlfn.AGGREGATE(15,6,(ROW(Table54[Name])-MIN(ROW(Table54[Name]))+1)/(Table54[Name]&lt;&gt;"")/(ISNA(MATCH(Table54[Name],$J$3:J9,0))),1)),"")</f>
        <v/>
      </c>
      <c r="K10" s="44">
        <f t="shared" si="1"/>
        <v>0</v>
      </c>
      <c r="L10" s="44">
        <f t="shared" si="1"/>
        <v>0</v>
      </c>
      <c r="M10" s="44">
        <f t="shared" si="1"/>
        <v>0</v>
      </c>
      <c r="N10" s="44">
        <f t="shared" si="1"/>
        <v>0</v>
      </c>
      <c r="P10" s="49"/>
      <c r="Q10" s="49"/>
      <c r="R10" s="49"/>
      <c r="S10" s="49"/>
      <c r="U10" s="53" t="str">
        <f>IFERROR(INDEX(MONEEInfo[Name],_xlfn.AGGREGATE(15,6,(ROW(MONEEInfo[Name])-MIN(ROW(MONEEInfo[Name]))+1)/(MONEEInfo[Name]&lt;&gt;"")/(ISNA(MATCH(MONEEInfo[Name],$U$3:U9,0))),1)),"")</f>
        <v/>
      </c>
      <c r="V10" s="44">
        <f t="shared" si="2"/>
        <v>0</v>
      </c>
      <c r="W10" s="44">
        <f t="shared" si="2"/>
        <v>0</v>
      </c>
      <c r="X10" s="44">
        <f t="shared" si="2"/>
        <v>0</v>
      </c>
      <c r="Y10" s="44">
        <f t="shared" si="2"/>
        <v>0</v>
      </c>
      <c r="AA10" s="49"/>
      <c r="AB10" s="49"/>
      <c r="AC10" s="49"/>
      <c r="AD10" s="49"/>
      <c r="AF10" s="53" t="str">
        <f>IFERROR(INDEX(ESDEEInfo[Name],_xlfn.AGGREGATE(15,6,(ROW(ESDEEInfo[Name])-MIN(ROW(ESDEEInfo[Name]))+1)/(ESDEEInfo[Name]&lt;&gt;"")/(ISNA(MATCH(ESDEEInfo[Name],$AF$3:AF9,0))),1)),"")</f>
        <v/>
      </c>
      <c r="AG10" s="44">
        <f t="shared" si="3"/>
        <v>0</v>
      </c>
      <c r="AH10" s="44">
        <f t="shared" si="3"/>
        <v>0</v>
      </c>
      <c r="AI10" s="44">
        <f t="shared" si="3"/>
        <v>0</v>
      </c>
      <c r="AJ10" s="44">
        <f t="shared" si="3"/>
        <v>0</v>
      </c>
      <c r="AL10" s="49"/>
      <c r="AM10" s="49"/>
      <c r="AN10" s="49"/>
      <c r="AO10" s="49"/>
      <c r="AQ10" s="53" t="str">
        <f t="array" ref="AQ10">IFERROR(INDEX(DAYEEInfo[Name],_xlfn.AGGREGATE(15,6,(ROW(DAYEEInfo[Name])-MIN(ROW(DAYEEInfo[Name]))+1)/(DAYEEInfo[Name]&lt;&gt;"")/(ISNA(MATCH(DAYEEInfo[Name],$AQ$3:AQ9,0))),1)),"")</f>
        <v/>
      </c>
      <c r="AR10" s="44" t="str">
        <f t="shared" si="4"/>
        <v/>
      </c>
      <c r="AS10" s="44" t="str">
        <f t="shared" si="4"/>
        <v/>
      </c>
      <c r="AT10" s="44" t="str">
        <f t="shared" si="4"/>
        <v/>
      </c>
      <c r="AU10" s="44" t="str">
        <f t="shared" si="4"/>
        <v/>
      </c>
      <c r="AV10" s="102" t="str">
        <f t="shared" si="4"/>
        <v/>
      </c>
      <c r="AW10" s="102" t="str">
        <f t="shared" si="4"/>
        <v/>
      </c>
      <c r="AX10" s="102" t="str">
        <f t="shared" si="4"/>
        <v/>
      </c>
    </row>
    <row r="11" spans="1:50" ht="15" customHeight="1" x14ac:dyDescent="0.25">
      <c r="A11" s="51" t="s">
        <v>76</v>
      </c>
      <c r="B11" s="51" t="str">
        <f t="array" ref="B11">INDEX($E$65:$E$77,MATCH(TRUE,INDEX($E$65:$E$77&lt;&gt;0,),0))</f>
        <v/>
      </c>
      <c r="C11" s="1"/>
      <c r="D11" s="64"/>
      <c r="E11" s="49"/>
      <c r="F11" s="90"/>
      <c r="G11" s="90"/>
      <c r="H11" s="90"/>
      <c r="J11" s="53" t="str">
        <f>IFERROR(INDEX(Table54[Name],_xlfn.AGGREGATE(15,6,(ROW(Table54[Name])-MIN(ROW(Table54[Name]))+1)/(Table54[Name]&lt;&gt;"")/(ISNA(MATCH(Table54[Name],$J$3:J10,0))),1)),"")</f>
        <v/>
      </c>
      <c r="K11" s="44">
        <f t="shared" si="1"/>
        <v>0</v>
      </c>
      <c r="L11" s="44">
        <f t="shared" si="1"/>
        <v>0</v>
      </c>
      <c r="M11" s="44">
        <f t="shared" si="1"/>
        <v>0</v>
      </c>
      <c r="N11" s="44">
        <f t="shared" si="1"/>
        <v>0</v>
      </c>
      <c r="P11" s="49"/>
      <c r="Q11" s="49"/>
      <c r="R11" s="49"/>
      <c r="S11" s="49"/>
      <c r="U11" s="53" t="str">
        <f>IFERROR(INDEX(MONEEInfo[Name],_xlfn.AGGREGATE(15,6,(ROW(MONEEInfo[Name])-MIN(ROW(MONEEInfo[Name]))+1)/(MONEEInfo[Name]&lt;&gt;"")/(ISNA(MATCH(MONEEInfo[Name],$U$3:U10,0))),1)),"")</f>
        <v/>
      </c>
      <c r="V11" s="44">
        <f t="shared" si="2"/>
        <v>0</v>
      </c>
      <c r="W11" s="44">
        <f t="shared" si="2"/>
        <v>0</v>
      </c>
      <c r="X11" s="44">
        <f t="shared" si="2"/>
        <v>0</v>
      </c>
      <c r="Y11" s="44">
        <f t="shared" si="2"/>
        <v>0</v>
      </c>
      <c r="AA11" s="49"/>
      <c r="AB11" s="49"/>
      <c r="AC11" s="49"/>
      <c r="AD11" s="49"/>
      <c r="AF11" s="53" t="str">
        <f>IFERROR(INDEX(ESDEEInfo[Name],_xlfn.AGGREGATE(15,6,(ROW(ESDEEInfo[Name])-MIN(ROW(ESDEEInfo[Name]))+1)/(ESDEEInfo[Name]&lt;&gt;"")/(ISNA(MATCH(ESDEEInfo[Name],$AF$3:AF10,0))),1)),"")</f>
        <v/>
      </c>
      <c r="AG11" s="44">
        <f t="shared" si="3"/>
        <v>0</v>
      </c>
      <c r="AH11" s="44">
        <f t="shared" si="3"/>
        <v>0</v>
      </c>
      <c r="AI11" s="44">
        <f t="shared" si="3"/>
        <v>0</v>
      </c>
      <c r="AJ11" s="44">
        <f t="shared" si="3"/>
        <v>0</v>
      </c>
      <c r="AL11" s="49"/>
      <c r="AM11" s="49"/>
      <c r="AN11" s="49"/>
      <c r="AO11" s="49"/>
      <c r="AQ11" s="53" t="str">
        <f t="array" ref="AQ11">IFERROR(INDEX(DAYEEInfo[Name],_xlfn.AGGREGATE(15,6,(ROW(DAYEEInfo[Name])-MIN(ROW(DAYEEInfo[Name]))+1)/(DAYEEInfo[Name]&lt;&gt;"")/(ISNA(MATCH(DAYEEInfo[Name],$AQ$3:AQ10,0))),1)),"")</f>
        <v/>
      </c>
      <c r="AR11" s="44" t="str">
        <f t="shared" si="4"/>
        <v/>
      </c>
      <c r="AS11" s="44" t="str">
        <f t="shared" si="4"/>
        <v/>
      </c>
      <c r="AT11" s="44" t="str">
        <f t="shared" si="4"/>
        <v/>
      </c>
      <c r="AU11" s="44" t="str">
        <f t="shared" si="4"/>
        <v/>
      </c>
      <c r="AV11" s="102" t="str">
        <f t="shared" si="4"/>
        <v/>
      </c>
      <c r="AW11" s="102" t="str">
        <f t="shared" si="4"/>
        <v/>
      </c>
      <c r="AX11" s="102" t="str">
        <f t="shared" si="4"/>
        <v/>
      </c>
    </row>
    <row r="12" spans="1:50" ht="15" customHeight="1" x14ac:dyDescent="0.25">
      <c r="C12" s="1"/>
      <c r="D12" s="64"/>
      <c r="E12" s="49"/>
      <c r="F12" s="90"/>
      <c r="G12" s="90"/>
      <c r="H12" s="90"/>
      <c r="J12" s="53" t="str">
        <f>IFERROR(INDEX(Table54[Name],_xlfn.AGGREGATE(15,6,(ROW(Table54[Name])-MIN(ROW(Table54[Name]))+1)/(Table54[Name]&lt;&gt;"")/(ISNA(MATCH(Table54[Name],$J$3:J11,0))),1)),"")</f>
        <v/>
      </c>
      <c r="K12" s="44">
        <f t="shared" si="1"/>
        <v>0</v>
      </c>
      <c r="L12" s="44">
        <f t="shared" si="1"/>
        <v>0</v>
      </c>
      <c r="M12" s="44">
        <f t="shared" si="1"/>
        <v>0</v>
      </c>
      <c r="N12" s="44">
        <f t="shared" si="1"/>
        <v>0</v>
      </c>
      <c r="P12" s="49"/>
      <c r="Q12" s="49"/>
      <c r="R12" s="49"/>
      <c r="S12" s="49"/>
      <c r="U12" s="53" t="str">
        <f>IFERROR(INDEX(MONEEInfo[Name],_xlfn.AGGREGATE(15,6,(ROW(MONEEInfo[Name])-MIN(ROW(MONEEInfo[Name]))+1)/(MONEEInfo[Name]&lt;&gt;"")/(ISNA(MATCH(MONEEInfo[Name],$U$3:U11,0))),1)),"")</f>
        <v/>
      </c>
      <c r="V12" s="44">
        <f t="shared" si="2"/>
        <v>0</v>
      </c>
      <c r="W12" s="44">
        <f t="shared" si="2"/>
        <v>0</v>
      </c>
      <c r="X12" s="44">
        <f t="shared" si="2"/>
        <v>0</v>
      </c>
      <c r="Y12" s="44">
        <f t="shared" si="2"/>
        <v>0</v>
      </c>
      <c r="AA12" s="49"/>
      <c r="AB12" s="49"/>
      <c r="AC12" s="49"/>
      <c r="AD12" s="49"/>
      <c r="AF12" s="53" t="str">
        <f>IFERROR(INDEX(ESDEEInfo[Name],_xlfn.AGGREGATE(15,6,(ROW(ESDEEInfo[Name])-MIN(ROW(ESDEEInfo[Name]))+1)/(ESDEEInfo[Name]&lt;&gt;"")/(ISNA(MATCH(ESDEEInfo[Name],$AF$3:AF11,0))),1)),"")</f>
        <v/>
      </c>
      <c r="AG12" s="44">
        <f t="shared" si="3"/>
        <v>0</v>
      </c>
      <c r="AH12" s="44">
        <f t="shared" si="3"/>
        <v>0</v>
      </c>
      <c r="AI12" s="44">
        <f t="shared" si="3"/>
        <v>0</v>
      </c>
      <c r="AJ12" s="44">
        <f t="shared" si="3"/>
        <v>0</v>
      </c>
      <c r="AL12" s="49"/>
      <c r="AM12" s="49"/>
      <c r="AN12" s="49"/>
      <c r="AO12" s="49"/>
      <c r="AQ12" s="53" t="str">
        <f t="array" ref="AQ12">IFERROR(INDEX(DAYEEInfo[Name],_xlfn.AGGREGATE(15,6,(ROW(DAYEEInfo[Name])-MIN(ROW(DAYEEInfo[Name]))+1)/(DAYEEInfo[Name]&lt;&gt;"")/(ISNA(MATCH(DAYEEInfo[Name],$AQ$3:AQ11,0))),1)),"")</f>
        <v/>
      </c>
      <c r="AR12" s="44" t="str">
        <f t="shared" si="4"/>
        <v/>
      </c>
      <c r="AS12" s="44" t="str">
        <f t="shared" si="4"/>
        <v/>
      </c>
      <c r="AT12" s="44" t="str">
        <f t="shared" si="4"/>
        <v/>
      </c>
      <c r="AU12" s="44" t="str">
        <f t="shared" si="4"/>
        <v/>
      </c>
      <c r="AV12" s="102" t="str">
        <f t="shared" si="4"/>
        <v/>
      </c>
      <c r="AW12" s="102" t="str">
        <f t="shared" si="4"/>
        <v/>
      </c>
      <c r="AX12" s="102" t="str">
        <f t="shared" si="4"/>
        <v/>
      </c>
    </row>
    <row r="13" spans="1:50" ht="15" customHeight="1" x14ac:dyDescent="0.25">
      <c r="B13" s="63" t="s">
        <v>79</v>
      </c>
      <c r="C13" s="1"/>
      <c r="D13" s="64"/>
      <c r="E13" s="49"/>
      <c r="F13" s="90"/>
      <c r="G13" s="90"/>
      <c r="H13" s="90"/>
      <c r="J13" s="53" t="str">
        <f>IFERROR(INDEX(Table54[Name],_xlfn.AGGREGATE(15,6,(ROW(Table54[Name])-MIN(ROW(Table54[Name]))+1)/(Table54[Name]&lt;&gt;"")/(ISNA(MATCH(Table54[Name],$J$3:J12,0))),1)),"")</f>
        <v/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44">
        <f t="shared" si="1"/>
        <v>0</v>
      </c>
      <c r="P13" s="49"/>
      <c r="Q13" s="49"/>
      <c r="R13" s="49"/>
      <c r="S13" s="49"/>
      <c r="U13" s="53" t="str">
        <f>IFERROR(INDEX(MONEEInfo[Name],_xlfn.AGGREGATE(15,6,(ROW(MONEEInfo[Name])-MIN(ROW(MONEEInfo[Name]))+1)/(MONEEInfo[Name]&lt;&gt;"")/(ISNA(MATCH(MONEEInfo[Name],$U$3:U12,0))),1)),"")</f>
        <v/>
      </c>
      <c r="V13" s="44">
        <f t="shared" si="2"/>
        <v>0</v>
      </c>
      <c r="W13" s="44">
        <f t="shared" si="2"/>
        <v>0</v>
      </c>
      <c r="X13" s="44">
        <f t="shared" si="2"/>
        <v>0</v>
      </c>
      <c r="Y13" s="44">
        <f t="shared" si="2"/>
        <v>0</v>
      </c>
      <c r="AA13" s="49"/>
      <c r="AB13" s="49"/>
      <c r="AC13" s="49"/>
      <c r="AD13" s="49"/>
      <c r="AF13" s="53" t="str">
        <f>IFERROR(INDEX(ESDEEInfo[Name],_xlfn.AGGREGATE(15,6,(ROW(ESDEEInfo[Name])-MIN(ROW(ESDEEInfo[Name]))+1)/(ESDEEInfo[Name]&lt;&gt;"")/(ISNA(MATCH(ESDEEInfo[Name],$AF$3:AF12,0))),1)),"")</f>
        <v/>
      </c>
      <c r="AG13" s="44">
        <f t="shared" si="3"/>
        <v>0</v>
      </c>
      <c r="AH13" s="44">
        <f t="shared" si="3"/>
        <v>0</v>
      </c>
      <c r="AI13" s="44">
        <f t="shared" si="3"/>
        <v>0</v>
      </c>
      <c r="AJ13" s="44">
        <f t="shared" si="3"/>
        <v>0</v>
      </c>
      <c r="AL13" s="49"/>
      <c r="AM13" s="49"/>
      <c r="AN13" s="49"/>
      <c r="AO13" s="49"/>
      <c r="AQ13" s="53" t="str">
        <f t="array" ref="AQ13">IFERROR(INDEX(DAYEEInfo[Name],_xlfn.AGGREGATE(15,6,(ROW(DAYEEInfo[Name])-MIN(ROW(DAYEEInfo[Name]))+1)/(DAYEEInfo[Name]&lt;&gt;"")/(ISNA(MATCH(DAYEEInfo[Name],$AQ$3:AQ12,0))),1)),"")</f>
        <v/>
      </c>
      <c r="AR13" s="44" t="str">
        <f t="shared" si="4"/>
        <v/>
      </c>
      <c r="AS13" s="44" t="str">
        <f t="shared" si="4"/>
        <v/>
      </c>
      <c r="AT13" s="44" t="str">
        <f t="shared" si="4"/>
        <v/>
      </c>
      <c r="AU13" s="44" t="str">
        <f t="shared" si="4"/>
        <v/>
      </c>
      <c r="AV13" s="102" t="str">
        <f t="shared" si="4"/>
        <v/>
      </c>
      <c r="AW13" s="102" t="str">
        <f t="shared" si="4"/>
        <v/>
      </c>
      <c r="AX13" s="102" t="str">
        <f t="shared" si="4"/>
        <v/>
      </c>
    </row>
    <row r="14" spans="1:50" ht="15" customHeight="1" x14ac:dyDescent="0.25">
      <c r="A14" s="6" t="str">
        <f>IFERROR('Jul-Aug'!$C$41:$L$41,"")</f>
        <v/>
      </c>
      <c r="B14" s="1" t="str">
        <f t="array" ref="B14">IFERROR(IF($B$3=Worksheet!$K$3,INDEX(Table43[EE Name],MATCH(0,COUNTIF($B$13:B13,Table43[EE Name]),0)),IF($B$3=Worksheet!$K$4,INDEX(Table4312[EE Name],MATCH(0,COUNTIF($B$13:B13,Table4312[EE Name]),0)),IF($B$3=Worksheet!$K$2,INDEX(ESDPosition[EE Name],MATCH(0,COUNTIF($B$13:B13,ESDPosition[EE Name]),0)),IF($B$3=Worksheet!$K$5,INDEX(DAYPosition[EE Name],MATCH(0,COUNTIF($B$13:B13,DAYPosition[EE Name]),0)),"")))),"")</f>
        <v/>
      </c>
      <c r="C14" s="1"/>
      <c r="D14" s="64"/>
      <c r="E14" s="49"/>
      <c r="F14" s="90"/>
      <c r="G14" s="90"/>
      <c r="H14" s="90"/>
      <c r="J14" s="53" t="str">
        <f>IFERROR(INDEX(Table54[Name],_xlfn.AGGREGATE(15,6,(ROW(Table54[Name])-MIN(ROW(Table54[Name]))+1)/(Table54[Name]&lt;&gt;"")/(ISNA(MATCH(Table54[Name],$J$3:J13,0))),1)),"")</f>
        <v/>
      </c>
      <c r="K14" s="44">
        <f t="shared" si="1"/>
        <v>0</v>
      </c>
      <c r="L14" s="44">
        <f t="shared" si="1"/>
        <v>0</v>
      </c>
      <c r="M14" s="44">
        <f t="shared" si="1"/>
        <v>0</v>
      </c>
      <c r="N14" s="44">
        <f t="shared" si="1"/>
        <v>0</v>
      </c>
      <c r="P14" s="49"/>
      <c r="Q14" s="49"/>
      <c r="R14" s="49"/>
      <c r="S14" s="49"/>
      <c r="U14" s="53" t="str">
        <f>IFERROR(INDEX(MONEEInfo[Name],_xlfn.AGGREGATE(15,6,(ROW(MONEEInfo[Name])-MIN(ROW(MONEEInfo[Name]))+1)/(MONEEInfo[Name]&lt;&gt;"")/(ISNA(MATCH(MONEEInfo[Name],$U$3:U13,0))),1)),"")</f>
        <v/>
      </c>
      <c r="V14" s="44">
        <f t="shared" si="2"/>
        <v>0</v>
      </c>
      <c r="W14" s="44">
        <f t="shared" si="2"/>
        <v>0</v>
      </c>
      <c r="X14" s="44">
        <f t="shared" si="2"/>
        <v>0</v>
      </c>
      <c r="Y14" s="44">
        <f t="shared" si="2"/>
        <v>0</v>
      </c>
      <c r="AA14" s="49"/>
      <c r="AB14" s="49"/>
      <c r="AC14" s="49"/>
      <c r="AD14" s="49"/>
      <c r="AF14" s="53" t="str">
        <f>IFERROR(INDEX(ESDEEInfo[Name],_xlfn.AGGREGATE(15,6,(ROW(ESDEEInfo[Name])-MIN(ROW(ESDEEInfo[Name]))+1)/(ESDEEInfo[Name]&lt;&gt;"")/(ISNA(MATCH(ESDEEInfo[Name],$AF$3:AF13,0))),1)),"")</f>
        <v/>
      </c>
      <c r="AG14" s="44">
        <f t="shared" si="3"/>
        <v>0</v>
      </c>
      <c r="AH14" s="44">
        <f t="shared" si="3"/>
        <v>0</v>
      </c>
      <c r="AI14" s="44">
        <f t="shared" si="3"/>
        <v>0</v>
      </c>
      <c r="AJ14" s="44">
        <f t="shared" si="3"/>
        <v>0</v>
      </c>
      <c r="AL14" s="49"/>
      <c r="AM14" s="49"/>
      <c r="AN14" s="49"/>
      <c r="AO14" s="49"/>
      <c r="AQ14" s="53" t="str">
        <f t="array" ref="AQ14">IFERROR(INDEX(DAYEEInfo[Name],_xlfn.AGGREGATE(15,6,(ROW(DAYEEInfo[Name])-MIN(ROW(DAYEEInfo[Name]))+1)/(DAYEEInfo[Name]&lt;&gt;"")/(ISNA(MATCH(DAYEEInfo[Name],$AQ$3:AQ13,0))),1)),"")</f>
        <v/>
      </c>
      <c r="AR14" s="44" t="str">
        <f t="shared" si="4"/>
        <v/>
      </c>
      <c r="AS14" s="44" t="str">
        <f t="shared" si="4"/>
        <v/>
      </c>
      <c r="AT14" s="44" t="str">
        <f t="shared" si="4"/>
        <v/>
      </c>
      <c r="AU14" s="44" t="str">
        <f t="shared" si="4"/>
        <v/>
      </c>
      <c r="AV14" s="102" t="str">
        <f t="shared" si="4"/>
        <v/>
      </c>
      <c r="AW14" s="102" t="str">
        <f t="shared" si="4"/>
        <v/>
      </c>
      <c r="AX14" s="102" t="str">
        <f t="shared" si="4"/>
        <v/>
      </c>
    </row>
    <row r="15" spans="1:50" ht="15" customHeight="1" x14ac:dyDescent="0.25">
      <c r="A15" s="6" t="str">
        <f>IFERROR('Aug-Sep'!$C$41:$L$41,"")</f>
        <v/>
      </c>
      <c r="B15" s="1" t="str">
        <f t="array" ref="B15">IFERROR(IF($B$3=Worksheet!$K$3,INDEX(Table43[EE Name],MATCH(0,COUNTIF($B$13:B14,Table43[EE Name]),0)),IF($B$3=Worksheet!$K$4,INDEX(Table4312[EE Name],MATCH(0,COUNTIF($B$13:B14,Table4312[EE Name]),0)),IF($B$3=Worksheet!$K$2,INDEX(ESDPosition[EE Name],MATCH(0,COUNTIF($B$13:B14,ESDPosition[EE Name]),0)),IF($B$3=Worksheet!$K$5,INDEX(DAYPosition[EE Name],MATCH(0,COUNTIF($B$13:B14,DAYPosition[EE Name]),0)),"")))),"")</f>
        <v/>
      </c>
      <c r="C15" s="1"/>
      <c r="D15" s="64"/>
      <c r="E15" s="49"/>
      <c r="F15" s="90"/>
      <c r="G15" s="90"/>
      <c r="H15" s="90"/>
      <c r="J15" s="53" t="str">
        <f>IFERROR(INDEX(Table54[Name],_xlfn.AGGREGATE(15,6,(ROW(Table54[Name])-MIN(ROW(Table54[Name]))+1)/(Table54[Name]&lt;&gt;"")/(ISNA(MATCH(Table54[Name],$J$3:J14,0))),1)),"")</f>
        <v/>
      </c>
      <c r="K15" s="44">
        <f t="shared" si="1"/>
        <v>0</v>
      </c>
      <c r="L15" s="44">
        <f t="shared" si="1"/>
        <v>0</v>
      </c>
      <c r="M15" s="44">
        <f t="shared" si="1"/>
        <v>0</v>
      </c>
      <c r="N15" s="44">
        <f t="shared" si="1"/>
        <v>0</v>
      </c>
      <c r="P15" s="49"/>
      <c r="Q15" s="49"/>
      <c r="R15" s="49"/>
      <c r="S15" s="49"/>
      <c r="U15" s="53" t="str">
        <f>IFERROR(INDEX(MONEEInfo[Name],_xlfn.AGGREGATE(15,6,(ROW(MONEEInfo[Name])-MIN(ROW(MONEEInfo[Name]))+1)/(MONEEInfo[Name]&lt;&gt;"")/(ISNA(MATCH(MONEEInfo[Name],$U$3:U14,0))),1)),"")</f>
        <v/>
      </c>
      <c r="V15" s="44">
        <f t="shared" si="2"/>
        <v>0</v>
      </c>
      <c r="W15" s="44">
        <f t="shared" si="2"/>
        <v>0</v>
      </c>
      <c r="X15" s="44">
        <f t="shared" si="2"/>
        <v>0</v>
      </c>
      <c r="Y15" s="44">
        <f t="shared" si="2"/>
        <v>0</v>
      </c>
      <c r="AA15" s="49"/>
      <c r="AB15" s="49"/>
      <c r="AC15" s="49"/>
      <c r="AD15" s="49"/>
      <c r="AF15" s="53" t="str">
        <f>IFERROR(INDEX(ESDEEInfo[Name],_xlfn.AGGREGATE(15,6,(ROW(ESDEEInfo[Name])-MIN(ROW(ESDEEInfo[Name]))+1)/(ESDEEInfo[Name]&lt;&gt;"")/(ISNA(MATCH(ESDEEInfo[Name],$AF$3:AF14,0))),1)),"")</f>
        <v/>
      </c>
      <c r="AG15" s="44">
        <f t="shared" si="3"/>
        <v>0</v>
      </c>
      <c r="AH15" s="44">
        <f t="shared" si="3"/>
        <v>0</v>
      </c>
      <c r="AI15" s="44">
        <f t="shared" si="3"/>
        <v>0</v>
      </c>
      <c r="AJ15" s="44">
        <f t="shared" si="3"/>
        <v>0</v>
      </c>
      <c r="AL15" s="49"/>
      <c r="AM15" s="49"/>
      <c r="AN15" s="49"/>
      <c r="AO15" s="49"/>
      <c r="AQ15" s="53" t="str">
        <f t="array" ref="AQ15">IFERROR(INDEX(DAYEEInfo[Name],_xlfn.AGGREGATE(15,6,(ROW(DAYEEInfo[Name])-MIN(ROW(DAYEEInfo[Name]))+1)/(DAYEEInfo[Name]&lt;&gt;"")/(ISNA(MATCH(DAYEEInfo[Name],$AQ$3:AQ14,0))),1)),"")</f>
        <v/>
      </c>
      <c r="AR15" s="44" t="str">
        <f t="shared" si="4"/>
        <v/>
      </c>
      <c r="AS15" s="44" t="str">
        <f t="shared" si="4"/>
        <v/>
      </c>
      <c r="AT15" s="44" t="str">
        <f t="shared" si="4"/>
        <v/>
      </c>
      <c r="AU15" s="44" t="str">
        <f t="shared" si="4"/>
        <v/>
      </c>
      <c r="AV15" s="102" t="str">
        <f t="shared" si="4"/>
        <v/>
      </c>
      <c r="AW15" s="102" t="str">
        <f t="shared" si="4"/>
        <v/>
      </c>
      <c r="AX15" s="102" t="str">
        <f t="shared" si="4"/>
        <v/>
      </c>
    </row>
    <row r="16" spans="1:50" ht="15" customHeight="1" x14ac:dyDescent="0.25">
      <c r="A16" s="6"/>
      <c r="B16" s="1" t="str">
        <f t="array" ref="B16">IFERROR(IF($B$3=Worksheet!$K$3,INDEX(Table43[EE Name],MATCH(0,COUNTIF($B$13:B15,Table43[EE Name]),0)),IF($B$3=Worksheet!$K$4,INDEX(Table4312[EE Name],MATCH(0,COUNTIF($B$13:B15,Table4312[EE Name]),0)),IF($B$3=Worksheet!$K$2,INDEX(ESDPosition[EE Name],MATCH(0,COUNTIF($B$13:B15,ESDPosition[EE Name]),0)),IF($B$3=Worksheet!$K$5,INDEX(DAYPosition[EE Name],MATCH(0,COUNTIF($B$13:B15,DAYPosition[EE Name]),0)),"")))),"")</f>
        <v/>
      </c>
      <c r="C16" s="1"/>
      <c r="D16" s="64"/>
      <c r="E16" s="49"/>
      <c r="F16" s="90"/>
      <c r="G16" s="90"/>
      <c r="H16" s="90"/>
      <c r="J16" s="53" t="str">
        <f>IFERROR(INDEX(Table54[Name],_xlfn.AGGREGATE(15,6,(ROW(Table54[Name])-MIN(ROW(Table54[Name]))+1)/(Table54[Name]&lt;&gt;"")/(ISNA(MATCH(Table54[Name],$J$3:J15,0))),1)),"")</f>
        <v/>
      </c>
      <c r="K16" s="44">
        <f t="shared" si="1"/>
        <v>0</v>
      </c>
      <c r="L16" s="44">
        <f t="shared" si="1"/>
        <v>0</v>
      </c>
      <c r="M16" s="44">
        <f t="shared" si="1"/>
        <v>0</v>
      </c>
      <c r="N16" s="44">
        <f t="shared" si="1"/>
        <v>0</v>
      </c>
      <c r="P16" s="49"/>
      <c r="Q16" s="49"/>
      <c r="R16" s="49"/>
      <c r="S16" s="49"/>
      <c r="U16" s="53" t="str">
        <f>IFERROR(INDEX(MONEEInfo[Name],_xlfn.AGGREGATE(15,6,(ROW(MONEEInfo[Name])-MIN(ROW(MONEEInfo[Name]))+1)/(MONEEInfo[Name]&lt;&gt;"")/(ISNA(MATCH(MONEEInfo[Name],$U$3:U15,0))),1)),"")</f>
        <v/>
      </c>
      <c r="V16" s="44">
        <f t="shared" si="2"/>
        <v>0</v>
      </c>
      <c r="W16" s="44">
        <f t="shared" si="2"/>
        <v>0</v>
      </c>
      <c r="X16" s="44">
        <f t="shared" si="2"/>
        <v>0</v>
      </c>
      <c r="Y16" s="44">
        <f t="shared" si="2"/>
        <v>0</v>
      </c>
      <c r="AA16" s="49"/>
      <c r="AB16" s="49"/>
      <c r="AC16" s="49"/>
      <c r="AD16" s="49"/>
      <c r="AF16" s="53" t="str">
        <f>IFERROR(INDEX(ESDEEInfo[Name],_xlfn.AGGREGATE(15,6,(ROW(ESDEEInfo[Name])-MIN(ROW(ESDEEInfo[Name]))+1)/(ESDEEInfo[Name]&lt;&gt;"")/(ISNA(MATCH(ESDEEInfo[Name],$AF$3:AF15,0))),1)),"")</f>
        <v/>
      </c>
      <c r="AG16" s="44">
        <f t="shared" si="3"/>
        <v>0</v>
      </c>
      <c r="AH16" s="44">
        <f t="shared" si="3"/>
        <v>0</v>
      </c>
      <c r="AI16" s="44">
        <f t="shared" si="3"/>
        <v>0</v>
      </c>
      <c r="AJ16" s="44">
        <f t="shared" si="3"/>
        <v>0</v>
      </c>
      <c r="AL16" s="49"/>
      <c r="AM16" s="49"/>
      <c r="AN16" s="49"/>
      <c r="AO16" s="49"/>
      <c r="AQ16" s="53" t="str">
        <f t="array" ref="AQ16">IFERROR(INDEX(DAYEEInfo[Name],_xlfn.AGGREGATE(15,6,(ROW(DAYEEInfo[Name])-MIN(ROW(DAYEEInfo[Name]))+1)/(DAYEEInfo[Name]&lt;&gt;"")/(ISNA(MATCH(DAYEEInfo[Name],$AQ$3:AQ15,0))),1)),"")</f>
        <v/>
      </c>
      <c r="AR16" s="44" t="str">
        <f t="shared" si="4"/>
        <v/>
      </c>
      <c r="AS16" s="44" t="str">
        <f t="shared" si="4"/>
        <v/>
      </c>
      <c r="AT16" s="44" t="str">
        <f t="shared" si="4"/>
        <v/>
      </c>
      <c r="AU16" s="44" t="str">
        <f t="shared" si="4"/>
        <v/>
      </c>
      <c r="AV16" s="102" t="str">
        <f t="shared" si="4"/>
        <v/>
      </c>
      <c r="AW16" s="102" t="str">
        <f t="shared" si="4"/>
        <v/>
      </c>
      <c r="AX16" s="102" t="str">
        <f t="shared" si="4"/>
        <v/>
      </c>
    </row>
    <row r="17" spans="1:50" ht="15" customHeight="1" x14ac:dyDescent="0.25">
      <c r="A17" s="6"/>
      <c r="B17" s="1" t="str">
        <f t="array" ref="B17">IFERROR(IF($B$3=Worksheet!$K$3,INDEX(Table43[EE Name],MATCH(0,COUNTIF($B$13:B16,Table43[EE Name]),0)),IF($B$3=Worksheet!$K$4,INDEX(Table4312[EE Name],MATCH(0,COUNTIF($B$13:B16,Table4312[EE Name]),0)),IF($B$3=Worksheet!$K$2,INDEX(ESDPosition[EE Name],MATCH(0,COUNTIF($B$13:B16,ESDPosition[EE Name]),0)),IF($B$3=Worksheet!$K$5,INDEX(DAYPosition[EE Name],MATCH(0,COUNTIF($B$13:B16,DAYPosition[EE Name]),0)),"")))),"")</f>
        <v/>
      </c>
      <c r="C17" s="1"/>
      <c r="D17" s="64"/>
      <c r="E17" s="49"/>
      <c r="F17" s="90"/>
      <c r="G17" s="90"/>
      <c r="H17" s="90"/>
      <c r="J17" s="53" t="str">
        <f>IFERROR(INDEX(Table54[Name],_xlfn.AGGREGATE(15,6,(ROW(Table54[Name])-MIN(ROW(Table54[Name]))+1)/(Table54[Name]&lt;&gt;"")/(ISNA(MATCH(Table54[Name],$J$3:J16,0))),1)),"")</f>
        <v/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  <c r="P17" s="49"/>
      <c r="Q17" s="49"/>
      <c r="R17" s="49"/>
      <c r="S17" s="49"/>
      <c r="U17" s="53" t="str">
        <f>IFERROR(INDEX(MONEEInfo[Name],_xlfn.AGGREGATE(15,6,(ROW(MONEEInfo[Name])-MIN(ROW(MONEEInfo[Name]))+1)/(MONEEInfo[Name]&lt;&gt;"")/(ISNA(MATCH(MONEEInfo[Name],$U$3:U16,0))),1)),"")</f>
        <v/>
      </c>
      <c r="V17" s="44">
        <f t="shared" si="2"/>
        <v>0</v>
      </c>
      <c r="W17" s="44">
        <f t="shared" si="2"/>
        <v>0</v>
      </c>
      <c r="X17" s="44">
        <f t="shared" si="2"/>
        <v>0</v>
      </c>
      <c r="Y17" s="44">
        <f t="shared" si="2"/>
        <v>0</v>
      </c>
      <c r="AA17" s="49"/>
      <c r="AB17" s="49"/>
      <c r="AC17" s="49"/>
      <c r="AD17" s="49"/>
      <c r="AF17" s="53" t="str">
        <f>IFERROR(INDEX(ESDEEInfo[Name],_xlfn.AGGREGATE(15,6,(ROW(ESDEEInfo[Name])-MIN(ROW(ESDEEInfo[Name]))+1)/(ESDEEInfo[Name]&lt;&gt;"")/(ISNA(MATCH(ESDEEInfo[Name],$AF$3:AF16,0))),1)),"")</f>
        <v/>
      </c>
      <c r="AG17" s="44">
        <f t="shared" si="3"/>
        <v>0</v>
      </c>
      <c r="AH17" s="44">
        <f t="shared" si="3"/>
        <v>0</v>
      </c>
      <c r="AI17" s="44">
        <f t="shared" si="3"/>
        <v>0</v>
      </c>
      <c r="AJ17" s="44">
        <f t="shared" si="3"/>
        <v>0</v>
      </c>
      <c r="AL17" s="49"/>
      <c r="AM17" s="49"/>
      <c r="AN17" s="49"/>
      <c r="AO17" s="49"/>
      <c r="AQ17" s="53" t="str">
        <f t="array" ref="AQ17">IFERROR(INDEX(DAYEEInfo[Name],_xlfn.AGGREGATE(15,6,(ROW(DAYEEInfo[Name])-MIN(ROW(DAYEEInfo[Name]))+1)/(DAYEEInfo[Name]&lt;&gt;"")/(ISNA(MATCH(DAYEEInfo[Name],$AQ$3:AQ16,0))),1)),"")</f>
        <v/>
      </c>
      <c r="AR17" s="44" t="str">
        <f t="shared" si="4"/>
        <v/>
      </c>
      <c r="AS17" s="44" t="str">
        <f t="shared" si="4"/>
        <v/>
      </c>
      <c r="AT17" s="44" t="str">
        <f t="shared" si="4"/>
        <v/>
      </c>
      <c r="AU17" s="44" t="str">
        <f t="shared" si="4"/>
        <v/>
      </c>
      <c r="AV17" s="102" t="str">
        <f t="shared" si="4"/>
        <v/>
      </c>
      <c r="AW17" s="102" t="str">
        <f t="shared" si="4"/>
        <v/>
      </c>
      <c r="AX17" s="102" t="str">
        <f t="shared" si="4"/>
        <v/>
      </c>
    </row>
    <row r="18" spans="1:50" ht="15" customHeight="1" x14ac:dyDescent="0.25">
      <c r="A18" s="6"/>
      <c r="B18" s="1" t="str">
        <f t="array" ref="B18">IFERROR(IF($B$3=Worksheet!$K$3,INDEX(Table43[EE Name],MATCH(0,COUNTIF($B$13:B17,Table43[EE Name]),0)),IF($B$3=Worksheet!$K$4,INDEX(Table4312[EE Name],MATCH(0,COUNTIF($B$13:B17,Table4312[EE Name]),0)),IF($B$3=Worksheet!$K$2,INDEX(ESDPosition[EE Name],MATCH(0,COUNTIF($B$13:B17,ESDPosition[EE Name]),0)),IF($B$3=Worksheet!$K$5,INDEX(DAYPosition[EE Name],MATCH(0,COUNTIF($B$13:B17,DAYPosition[EE Name]),0)),"")))),"")</f>
        <v/>
      </c>
      <c r="C18" s="1"/>
      <c r="D18" s="64"/>
      <c r="E18" s="49"/>
      <c r="F18" s="90"/>
      <c r="G18" s="90"/>
      <c r="H18" s="90"/>
      <c r="J18" s="53" t="str">
        <f>IFERROR(INDEX(Table54[Name],_xlfn.AGGREGATE(15,6,(ROW(Table54[Name])-MIN(ROW(Table54[Name]))+1)/(Table54[Name]&lt;&gt;"")/(ISNA(MATCH(Table54[Name],$J$3:J17,0))),1)),"")</f>
        <v/>
      </c>
      <c r="K18" s="44">
        <f t="shared" si="1"/>
        <v>0</v>
      </c>
      <c r="L18" s="44">
        <f t="shared" si="1"/>
        <v>0</v>
      </c>
      <c r="M18" s="44">
        <f t="shared" si="1"/>
        <v>0</v>
      </c>
      <c r="N18" s="44">
        <f t="shared" si="1"/>
        <v>0</v>
      </c>
      <c r="P18" s="49"/>
      <c r="Q18" s="49"/>
      <c r="R18" s="49"/>
      <c r="S18" s="49"/>
      <c r="U18" s="53" t="str">
        <f>IFERROR(INDEX(MONEEInfo[Name],_xlfn.AGGREGATE(15,6,(ROW(MONEEInfo[Name])-MIN(ROW(MONEEInfo[Name]))+1)/(MONEEInfo[Name]&lt;&gt;"")/(ISNA(MATCH(MONEEInfo[Name],$U$3:U17,0))),1)),"")</f>
        <v/>
      </c>
      <c r="V18" s="44">
        <f t="shared" si="2"/>
        <v>0</v>
      </c>
      <c r="W18" s="44">
        <f t="shared" si="2"/>
        <v>0</v>
      </c>
      <c r="X18" s="44">
        <f t="shared" si="2"/>
        <v>0</v>
      </c>
      <c r="Y18" s="44">
        <f t="shared" si="2"/>
        <v>0</v>
      </c>
      <c r="AA18" s="49"/>
      <c r="AB18" s="49"/>
      <c r="AC18" s="49"/>
      <c r="AD18" s="49"/>
      <c r="AF18" s="53" t="str">
        <f>IFERROR(INDEX(ESDEEInfo[Name],_xlfn.AGGREGATE(15,6,(ROW(ESDEEInfo[Name])-MIN(ROW(ESDEEInfo[Name]))+1)/(ESDEEInfo[Name]&lt;&gt;"")/(ISNA(MATCH(ESDEEInfo[Name],$AF$3:AF17,0))),1)),"")</f>
        <v/>
      </c>
      <c r="AG18" s="44">
        <f t="shared" si="3"/>
        <v>0</v>
      </c>
      <c r="AH18" s="44">
        <f t="shared" si="3"/>
        <v>0</v>
      </c>
      <c r="AI18" s="44">
        <f t="shared" si="3"/>
        <v>0</v>
      </c>
      <c r="AJ18" s="44">
        <f t="shared" si="3"/>
        <v>0</v>
      </c>
      <c r="AL18" s="49"/>
      <c r="AM18" s="49"/>
      <c r="AN18" s="49"/>
      <c r="AO18" s="49"/>
      <c r="AQ18" s="53" t="str">
        <f t="array" ref="AQ18">IFERROR(INDEX(DAYEEInfo[Name],_xlfn.AGGREGATE(15,6,(ROW(DAYEEInfo[Name])-MIN(ROW(DAYEEInfo[Name]))+1)/(DAYEEInfo[Name]&lt;&gt;"")/(ISNA(MATCH(DAYEEInfo[Name],$AQ$3:AQ17,0))),1)),"")</f>
        <v/>
      </c>
      <c r="AR18" s="44" t="str">
        <f t="shared" si="4"/>
        <v/>
      </c>
      <c r="AS18" s="44" t="str">
        <f t="shared" si="4"/>
        <v/>
      </c>
      <c r="AT18" s="44" t="str">
        <f t="shared" si="4"/>
        <v/>
      </c>
      <c r="AU18" s="44" t="str">
        <f t="shared" si="4"/>
        <v/>
      </c>
      <c r="AV18" s="102" t="str">
        <f t="shared" si="4"/>
        <v/>
      </c>
      <c r="AW18" s="102" t="str">
        <f t="shared" si="4"/>
        <v/>
      </c>
      <c r="AX18" s="102" t="str">
        <f t="shared" si="4"/>
        <v/>
      </c>
    </row>
    <row r="19" spans="1:50" ht="15" customHeight="1" x14ac:dyDescent="0.25">
      <c r="A19" s="6"/>
      <c r="B19" s="1" t="str">
        <f t="array" ref="B19">IFERROR(IF($B$3=Worksheet!$K$3,INDEX(Table43[EE Name],MATCH(0,COUNTIF($B$13:B18,Table43[EE Name]),0)),IF($B$3=Worksheet!$K$4,INDEX(Table4312[EE Name],MATCH(0,COUNTIF($B$13:B18,Table4312[EE Name]),0)),IF($B$3=Worksheet!$K$2,INDEX(ESDPosition[EE Name],MATCH(0,COUNTIF($B$13:B18,ESDPosition[EE Name]),0)),IF($B$3=Worksheet!$K$5,INDEX(DAYPosition[EE Name],MATCH(0,COUNTIF($B$13:B18,DAYPosition[EE Name]),0)),"")))),"")</f>
        <v/>
      </c>
      <c r="C19" s="1"/>
      <c r="D19" s="64"/>
      <c r="E19" s="49"/>
      <c r="F19" s="90"/>
      <c r="G19" s="90"/>
      <c r="H19" s="90"/>
      <c r="J19" s="53" t="str">
        <f>IFERROR(INDEX(Table54[Name],_xlfn.AGGREGATE(15,6,(ROW(Table54[Name])-MIN(ROW(Table54[Name]))+1)/(Table54[Name]&lt;&gt;"")/(ISNA(MATCH(Table54[Name],$J$3:J18,0))),1)),"")</f>
        <v/>
      </c>
      <c r="K19" s="44">
        <f t="shared" si="1"/>
        <v>0</v>
      </c>
      <c r="L19" s="44">
        <f t="shared" si="1"/>
        <v>0</v>
      </c>
      <c r="M19" s="44">
        <f t="shared" si="1"/>
        <v>0</v>
      </c>
      <c r="N19" s="44">
        <f t="shared" si="1"/>
        <v>0</v>
      </c>
      <c r="P19" s="49"/>
      <c r="Q19" s="49"/>
      <c r="R19" s="49"/>
      <c r="S19" s="49"/>
      <c r="U19" s="53" t="str">
        <f>IFERROR(INDEX(MONEEInfo[Name],_xlfn.AGGREGATE(15,6,(ROW(MONEEInfo[Name])-MIN(ROW(MONEEInfo[Name]))+1)/(MONEEInfo[Name]&lt;&gt;"")/(ISNA(MATCH(MONEEInfo[Name],$U$3:U18,0))),1)),"")</f>
        <v/>
      </c>
      <c r="V19" s="44">
        <f t="shared" si="2"/>
        <v>0</v>
      </c>
      <c r="W19" s="44">
        <f t="shared" si="2"/>
        <v>0</v>
      </c>
      <c r="X19" s="44">
        <f t="shared" si="2"/>
        <v>0</v>
      </c>
      <c r="Y19" s="44">
        <f t="shared" si="2"/>
        <v>0</v>
      </c>
      <c r="AA19" s="49" t="str">
        <f>IF(ESDEEInfo[[#This Row],[FN]]=0,"",CONCATENATE(ESDEEInfo[[#This Row],[FN]]," ",ESDEEInfo[[#This Row],[LN]]))</f>
        <v/>
      </c>
      <c r="AB19" s="49"/>
      <c r="AC19" s="49"/>
      <c r="AD19" s="49"/>
      <c r="AF19" s="53" t="str">
        <f>IFERROR(INDEX(ESDEEInfo[Name],_xlfn.AGGREGATE(15,6,(ROW(ESDEEInfo[Name])-MIN(ROW(ESDEEInfo[Name]))+1)/(ESDEEInfo[Name]&lt;&gt;"")/(ISNA(MATCH(ESDEEInfo[Name],$AF$3:AF18,0))),1)),"")</f>
        <v/>
      </c>
      <c r="AG19" s="44">
        <f t="shared" si="3"/>
        <v>0</v>
      </c>
      <c r="AH19" s="44">
        <f t="shared" si="3"/>
        <v>0</v>
      </c>
      <c r="AI19" s="44">
        <f t="shared" si="3"/>
        <v>0</v>
      </c>
      <c r="AJ19" s="44">
        <f t="shared" si="3"/>
        <v>0</v>
      </c>
      <c r="AL19" s="49"/>
      <c r="AM19" s="49"/>
      <c r="AN19" s="49"/>
      <c r="AO19" s="49"/>
      <c r="AQ19" s="53" t="str">
        <f t="array" ref="AQ19">IFERROR(INDEX(DAYEEInfo[Name],_xlfn.AGGREGATE(15,6,(ROW(DAYEEInfo[Name])-MIN(ROW(DAYEEInfo[Name]))+1)/(DAYEEInfo[Name]&lt;&gt;"")/(ISNA(MATCH(DAYEEInfo[Name],$AQ$3:AQ18,0))),1)),"")</f>
        <v/>
      </c>
      <c r="AR19" s="44" t="str">
        <f t="shared" si="4"/>
        <v/>
      </c>
      <c r="AS19" s="44" t="str">
        <f t="shared" si="4"/>
        <v/>
      </c>
      <c r="AT19" s="44" t="str">
        <f t="shared" si="4"/>
        <v/>
      </c>
      <c r="AU19" s="44" t="str">
        <f t="shared" si="4"/>
        <v/>
      </c>
      <c r="AV19" s="102" t="str">
        <f t="shared" si="4"/>
        <v/>
      </c>
      <c r="AW19" s="102" t="str">
        <f t="shared" si="4"/>
        <v/>
      </c>
      <c r="AX19" s="102" t="str">
        <f t="shared" si="4"/>
        <v/>
      </c>
    </row>
    <row r="20" spans="1:50" ht="15" customHeight="1" x14ac:dyDescent="0.25">
      <c r="A20" s="6"/>
      <c r="B20" s="1" t="str">
        <f t="array" ref="B20">IFERROR(IF($B$3=Worksheet!$K$3,INDEX(Table43[EE Name],MATCH(0,COUNTIF($B$13:B19,Table43[EE Name]),0)),IF($B$3=Worksheet!$K$4,INDEX(Table4312[EE Name],MATCH(0,COUNTIF($B$13:B19,Table4312[EE Name]),0)),IF($B$3=Worksheet!$K$2,INDEX(ESDPosition[EE Name],MATCH(0,COUNTIF($B$13:B19,ESDPosition[EE Name]),0)),IF($B$3=Worksheet!$K$5,INDEX(DAYPosition[EE Name],MATCH(0,COUNTIF($B$13:B19,DAYPosition[EE Name]),0)),"")))),"")</f>
        <v/>
      </c>
      <c r="C20" s="1"/>
      <c r="D20" s="64"/>
      <c r="E20" s="49"/>
      <c r="F20" s="90"/>
      <c r="G20" s="90"/>
      <c r="H20" s="90"/>
      <c r="J20" s="53" t="str">
        <f>IFERROR(INDEX(Table54[Name],_xlfn.AGGREGATE(15,6,(ROW(Table54[Name])-MIN(ROW(Table54[Name]))+1)/(Table54[Name]&lt;&gt;"")/(ISNA(MATCH(Table54[Name],$J$3:J19,0))),1)),"")</f>
        <v/>
      </c>
      <c r="K20" s="44">
        <f t="shared" si="1"/>
        <v>0</v>
      </c>
      <c r="L20" s="44">
        <f t="shared" si="1"/>
        <v>0</v>
      </c>
      <c r="M20" s="44">
        <f t="shared" si="1"/>
        <v>0</v>
      </c>
      <c r="N20" s="44">
        <f t="shared" si="1"/>
        <v>0</v>
      </c>
      <c r="P20" s="49"/>
      <c r="Q20" s="49"/>
      <c r="R20" s="49"/>
      <c r="S20" s="49"/>
      <c r="U20" s="53" t="str">
        <f>IFERROR(INDEX(MONEEInfo[Name],_xlfn.AGGREGATE(15,6,(ROW(MONEEInfo[Name])-MIN(ROW(MONEEInfo[Name]))+1)/(MONEEInfo[Name]&lt;&gt;"")/(ISNA(MATCH(MONEEInfo[Name],$U$3:U19,0))),1)),"")</f>
        <v/>
      </c>
      <c r="V20" s="44">
        <f t="shared" si="2"/>
        <v>0</v>
      </c>
      <c r="W20" s="44">
        <f t="shared" si="2"/>
        <v>0</v>
      </c>
      <c r="X20" s="44">
        <f t="shared" si="2"/>
        <v>0</v>
      </c>
      <c r="Y20" s="44">
        <f t="shared" si="2"/>
        <v>0</v>
      </c>
      <c r="AA20" s="49" t="str">
        <f>IF(ESDEEInfo[[#This Row],[FN]]=0,"",CONCATENATE(ESDEEInfo[[#This Row],[FN]]," ",ESDEEInfo[[#This Row],[LN]]))</f>
        <v/>
      </c>
      <c r="AB20" s="49"/>
      <c r="AC20" s="49"/>
      <c r="AD20" s="49"/>
      <c r="AF20" s="53" t="str">
        <f>IFERROR(INDEX(ESDEEInfo[Name],_xlfn.AGGREGATE(15,6,(ROW(ESDEEInfo[Name])-MIN(ROW(ESDEEInfo[Name]))+1)/(ESDEEInfo[Name]&lt;&gt;"")/(ISNA(MATCH(ESDEEInfo[Name],$AF$3:AF19,0))),1)),"")</f>
        <v/>
      </c>
      <c r="AG20" s="44">
        <f t="shared" si="3"/>
        <v>0</v>
      </c>
      <c r="AH20" s="44">
        <f t="shared" si="3"/>
        <v>0</v>
      </c>
      <c r="AI20" s="44">
        <f t="shared" si="3"/>
        <v>0</v>
      </c>
      <c r="AJ20" s="44">
        <f t="shared" si="3"/>
        <v>0</v>
      </c>
      <c r="AL20" s="49"/>
      <c r="AM20" s="49"/>
      <c r="AN20" s="49"/>
      <c r="AO20" s="49"/>
      <c r="AQ20" s="53" t="str">
        <f t="array" ref="AQ20">IFERROR(INDEX(DAYEEInfo[Name],_xlfn.AGGREGATE(15,6,(ROW(DAYEEInfo[Name])-MIN(ROW(DAYEEInfo[Name]))+1)/(DAYEEInfo[Name]&lt;&gt;"")/(ISNA(MATCH(DAYEEInfo[Name],$AQ$3:AQ19,0))),1)),"")</f>
        <v/>
      </c>
      <c r="AR20" s="44" t="str">
        <f t="shared" si="4"/>
        <v/>
      </c>
      <c r="AS20" s="44" t="str">
        <f t="shared" si="4"/>
        <v/>
      </c>
      <c r="AT20" s="44" t="str">
        <f t="shared" si="4"/>
        <v/>
      </c>
      <c r="AU20" s="44" t="str">
        <f t="shared" si="4"/>
        <v/>
      </c>
      <c r="AV20" s="102" t="str">
        <f t="shared" si="4"/>
        <v/>
      </c>
      <c r="AW20" s="102" t="str">
        <f t="shared" si="4"/>
        <v/>
      </c>
      <c r="AX20" s="102" t="str">
        <f t="shared" si="4"/>
        <v/>
      </c>
    </row>
    <row r="21" spans="1:50" ht="15" customHeight="1" x14ac:dyDescent="0.25">
      <c r="A21" s="6"/>
      <c r="B21" s="1" t="str">
        <f t="array" ref="B21">IFERROR(IF($B$3=Worksheet!$K$3,INDEX(Table43[EE Name],MATCH(0,COUNTIF($B$13:B20,Table43[EE Name]),0)),IF($B$3=Worksheet!$K$4,INDEX(Table4312[EE Name],MATCH(0,COUNTIF($B$13:B20,Table4312[EE Name]),0)),IF($B$3=Worksheet!$K$2,INDEX(ESDPosition[EE Name],MATCH(0,COUNTIF($B$13:B20,ESDPosition[EE Name]),0)),IF($B$3=Worksheet!$K$5,INDEX(DAYPosition[EE Name],MATCH(0,COUNTIF($B$13:B20,DAYPosition[EE Name]),0)),"")))),"")</f>
        <v/>
      </c>
      <c r="C21" s="1"/>
      <c r="D21" s="64"/>
      <c r="E21" s="49"/>
      <c r="F21" s="90"/>
      <c r="G21" s="90"/>
      <c r="H21" s="90"/>
      <c r="J21" s="53" t="str">
        <f>IFERROR(INDEX(Table54[Name],_xlfn.AGGREGATE(15,6,(ROW(Table54[Name])-MIN(ROW(Table54[Name]))+1)/(Table54[Name]&lt;&gt;"")/(ISNA(MATCH(Table54[Name],$J$3:J20,0))),1)),"")</f>
        <v/>
      </c>
      <c r="K21" s="44">
        <f t="shared" si="1"/>
        <v>0</v>
      </c>
      <c r="L21" s="44">
        <f t="shared" si="1"/>
        <v>0</v>
      </c>
      <c r="M21" s="44">
        <f t="shared" si="1"/>
        <v>0</v>
      </c>
      <c r="N21" s="44">
        <f t="shared" si="1"/>
        <v>0</v>
      </c>
      <c r="P21" s="49"/>
      <c r="Q21" s="49"/>
      <c r="R21" s="49"/>
      <c r="S21" s="49"/>
      <c r="U21" s="53" t="str">
        <f>IFERROR(INDEX(MONEEInfo[Name],_xlfn.AGGREGATE(15,6,(ROW(MONEEInfo[Name])-MIN(ROW(MONEEInfo[Name]))+1)/(MONEEInfo[Name]&lt;&gt;"")/(ISNA(MATCH(MONEEInfo[Name],$U$3:U20,0))),1)),"")</f>
        <v/>
      </c>
      <c r="V21" s="44">
        <f t="shared" si="2"/>
        <v>0</v>
      </c>
      <c r="W21" s="44">
        <f t="shared" si="2"/>
        <v>0</v>
      </c>
      <c r="X21" s="44">
        <f t="shared" si="2"/>
        <v>0</v>
      </c>
      <c r="Y21" s="44">
        <f t="shared" si="2"/>
        <v>0</v>
      </c>
      <c r="AA21" s="49" t="str">
        <f>IF(ESDEEInfo[[#This Row],[FN]]=0,"",CONCATENATE(ESDEEInfo[[#This Row],[FN]]," ",ESDEEInfo[[#This Row],[LN]]))</f>
        <v/>
      </c>
      <c r="AB21" s="49"/>
      <c r="AC21" s="49"/>
      <c r="AD21" s="49"/>
      <c r="AF21" s="53" t="str">
        <f>IFERROR(INDEX(ESDEEInfo[Name],_xlfn.AGGREGATE(15,6,(ROW(ESDEEInfo[Name])-MIN(ROW(ESDEEInfo[Name]))+1)/(ESDEEInfo[Name]&lt;&gt;"")/(ISNA(MATCH(ESDEEInfo[Name],$AF$3:AF20,0))),1)),"")</f>
        <v/>
      </c>
      <c r="AG21" s="44">
        <f t="shared" si="3"/>
        <v>0</v>
      </c>
      <c r="AH21" s="44">
        <f t="shared" si="3"/>
        <v>0</v>
      </c>
      <c r="AI21" s="44">
        <f t="shared" si="3"/>
        <v>0</v>
      </c>
      <c r="AJ21" s="44">
        <f t="shared" si="3"/>
        <v>0</v>
      </c>
      <c r="AL21" s="49"/>
      <c r="AM21" s="49"/>
      <c r="AN21" s="49"/>
      <c r="AO21" s="49"/>
      <c r="AQ21" s="53" t="str">
        <f t="array" ref="AQ21">IFERROR(INDEX(DAYEEInfo[Name],_xlfn.AGGREGATE(15,6,(ROW(DAYEEInfo[Name])-MIN(ROW(DAYEEInfo[Name]))+1)/(DAYEEInfo[Name]&lt;&gt;"")/(ISNA(MATCH(DAYEEInfo[Name],$AQ$3:AQ20,0))),1)),"")</f>
        <v/>
      </c>
      <c r="AR21" s="44" t="str">
        <f t="shared" si="4"/>
        <v/>
      </c>
      <c r="AS21" s="44" t="str">
        <f t="shared" si="4"/>
        <v/>
      </c>
      <c r="AT21" s="44" t="str">
        <f t="shared" si="4"/>
        <v/>
      </c>
      <c r="AU21" s="44" t="str">
        <f t="shared" si="4"/>
        <v/>
      </c>
      <c r="AV21" s="102" t="str">
        <f t="shared" si="4"/>
        <v/>
      </c>
      <c r="AW21" s="102" t="str">
        <f t="shared" si="4"/>
        <v/>
      </c>
      <c r="AX21" s="102" t="str">
        <f t="shared" si="4"/>
        <v/>
      </c>
    </row>
    <row r="22" spans="1:50" ht="15" customHeight="1" x14ac:dyDescent="0.25">
      <c r="A22" s="6"/>
      <c r="B22" s="1" t="str">
        <f t="array" ref="B22">IFERROR(IF($B$3=Worksheet!$K$3,INDEX(Table43[EE Name],MATCH(0,COUNTIF($B$13:B21,Table43[EE Name]),0)),IF($B$3=Worksheet!$K$4,INDEX(Table4312[EE Name],MATCH(0,COUNTIF($B$13:B21,Table4312[EE Name]),0)),IF($B$3=Worksheet!$K$2,INDEX(ESDPosition[EE Name],MATCH(0,COUNTIF($B$13:B21,ESDPosition[EE Name]),0)),IF($B$3=Worksheet!$K$5,INDEX(DAYPosition[EE Name],MATCH(0,COUNTIF($B$13:B21,DAYPosition[EE Name]),0)),"")))),"")</f>
        <v/>
      </c>
      <c r="C22" s="1"/>
      <c r="D22" s="64"/>
      <c r="E22" s="49"/>
      <c r="F22" s="90"/>
      <c r="G22" s="90"/>
      <c r="H22" s="90"/>
      <c r="J22" s="53" t="str">
        <f>IFERROR(INDEX(Table54[Name],_xlfn.AGGREGATE(15,6,(ROW(Table54[Name])-MIN(ROW(Table54[Name]))+1)/(Table54[Name]&lt;&gt;"")/(ISNA(MATCH(Table54[Name],$J$3:J21,0))),1)),"")</f>
        <v/>
      </c>
      <c r="K22" s="44">
        <f t="shared" si="1"/>
        <v>0</v>
      </c>
      <c r="L22" s="44">
        <f t="shared" si="1"/>
        <v>0</v>
      </c>
      <c r="M22" s="44">
        <f t="shared" si="1"/>
        <v>0</v>
      </c>
      <c r="N22" s="44">
        <f t="shared" si="1"/>
        <v>0</v>
      </c>
      <c r="P22" s="49"/>
      <c r="Q22" s="49"/>
      <c r="R22" s="49"/>
      <c r="S22" s="49"/>
      <c r="U22" s="53" t="str">
        <f>IFERROR(INDEX(MONEEInfo[Name],_xlfn.AGGREGATE(15,6,(ROW(MONEEInfo[Name])-MIN(ROW(MONEEInfo[Name]))+1)/(MONEEInfo[Name]&lt;&gt;"")/(ISNA(MATCH(MONEEInfo[Name],$U$3:U21,0))),1)),"")</f>
        <v/>
      </c>
      <c r="V22" s="44">
        <f t="shared" si="2"/>
        <v>0</v>
      </c>
      <c r="W22" s="44">
        <f t="shared" si="2"/>
        <v>0</v>
      </c>
      <c r="X22" s="44">
        <f t="shared" si="2"/>
        <v>0</v>
      </c>
      <c r="Y22" s="44">
        <f t="shared" si="2"/>
        <v>0</v>
      </c>
      <c r="AA22" s="49" t="str">
        <f>IF(ESDEEInfo[[#This Row],[FN]]=0,"",CONCATENATE(ESDEEInfo[[#This Row],[FN]]," ",ESDEEInfo[[#This Row],[LN]]))</f>
        <v/>
      </c>
      <c r="AB22" s="49"/>
      <c r="AC22" s="49"/>
      <c r="AD22" s="49"/>
      <c r="AF22" s="53" t="str">
        <f>IFERROR(INDEX(ESDEEInfo[Name],_xlfn.AGGREGATE(15,6,(ROW(ESDEEInfo[Name])-MIN(ROW(ESDEEInfo[Name]))+1)/(ESDEEInfo[Name]&lt;&gt;"")/(ISNA(MATCH(ESDEEInfo[Name],$AF$3:AF21,0))),1)),"")</f>
        <v/>
      </c>
      <c r="AG22" s="44">
        <f t="shared" si="3"/>
        <v>0</v>
      </c>
      <c r="AH22" s="44">
        <f t="shared" si="3"/>
        <v>0</v>
      </c>
      <c r="AI22" s="44">
        <f t="shared" si="3"/>
        <v>0</v>
      </c>
      <c r="AJ22" s="44">
        <f t="shared" si="3"/>
        <v>0</v>
      </c>
      <c r="AL22" s="49"/>
      <c r="AM22" s="49"/>
      <c r="AN22" s="49"/>
      <c r="AO22" s="49"/>
      <c r="AQ22" s="53" t="str">
        <f t="array" ref="AQ22">IFERROR(INDEX(DAYEEInfo[Name],_xlfn.AGGREGATE(15,6,(ROW(DAYEEInfo[Name])-MIN(ROW(DAYEEInfo[Name]))+1)/(DAYEEInfo[Name]&lt;&gt;"")/(ISNA(MATCH(DAYEEInfo[Name],$AQ$3:AQ21,0))),1)),"")</f>
        <v/>
      </c>
      <c r="AR22" s="44" t="str">
        <f t="shared" si="4"/>
        <v/>
      </c>
      <c r="AS22" s="44" t="str">
        <f t="shared" si="4"/>
        <v/>
      </c>
      <c r="AT22" s="44" t="str">
        <f t="shared" si="4"/>
        <v/>
      </c>
      <c r="AU22" s="44" t="str">
        <f t="shared" si="4"/>
        <v/>
      </c>
      <c r="AV22" s="102" t="str">
        <f t="shared" si="4"/>
        <v/>
      </c>
      <c r="AW22" s="102" t="str">
        <f t="shared" si="4"/>
        <v/>
      </c>
      <c r="AX22" s="102" t="str">
        <f t="shared" si="4"/>
        <v/>
      </c>
    </row>
    <row r="23" spans="1:50" ht="15" customHeight="1" x14ac:dyDescent="0.25">
      <c r="A23" s="6"/>
      <c r="B23" s="1" t="str">
        <f t="array" ref="B23">IFERROR(IF($B$3=Worksheet!$K$3,INDEX(Table43[EE Name],MATCH(0,COUNTIF($B$13:B22,Table43[EE Name]),0)),IF($B$3=Worksheet!$K$4,INDEX(Table4312[EE Name],MATCH(0,COUNTIF($B$13:B22,Table4312[EE Name]),0)),IF($B$3=Worksheet!$K$2,INDEX(ESDPosition[EE Name],MATCH(0,COUNTIF($B$13:B22,ESDPosition[EE Name]),0)),IF($B$3=Worksheet!$K$5,INDEX(DAYPosition[EE Name],MATCH(0,COUNTIF($B$13:B22,DAYPosition[EE Name]),0)),"")))),"")</f>
        <v/>
      </c>
      <c r="C23" s="1"/>
      <c r="D23" s="64"/>
      <c r="E23" s="49"/>
      <c r="F23" s="90"/>
      <c r="G23" s="90"/>
      <c r="H23" s="90"/>
      <c r="J23" s="53" t="str">
        <f>IFERROR(INDEX(Table54[Name],_xlfn.AGGREGATE(15,6,(ROW(Table54[Name])-MIN(ROW(Table54[Name]))+1)/(Table54[Name]&lt;&gt;"")/(ISNA(MATCH(Table54[Name],$J$3:J22,0))),1)),"")</f>
        <v/>
      </c>
      <c r="K23" s="44">
        <f t="shared" si="1"/>
        <v>0</v>
      </c>
      <c r="L23" s="44">
        <f t="shared" si="1"/>
        <v>0</v>
      </c>
      <c r="M23" s="44">
        <f t="shared" si="1"/>
        <v>0</v>
      </c>
      <c r="N23" s="44">
        <f t="shared" si="1"/>
        <v>0</v>
      </c>
      <c r="P23" s="49"/>
      <c r="Q23" s="49"/>
      <c r="R23" s="49"/>
      <c r="S23" s="49"/>
      <c r="U23" s="53" t="str">
        <f>IFERROR(INDEX(MONEEInfo[Name],_xlfn.AGGREGATE(15,6,(ROW(MONEEInfo[Name])-MIN(ROW(MONEEInfo[Name]))+1)/(MONEEInfo[Name]&lt;&gt;"")/(ISNA(MATCH(MONEEInfo[Name],$U$3:U22,0))),1)),"")</f>
        <v/>
      </c>
      <c r="V23" s="44">
        <f t="shared" si="2"/>
        <v>0</v>
      </c>
      <c r="W23" s="44">
        <f t="shared" si="2"/>
        <v>0</v>
      </c>
      <c r="X23" s="44">
        <f t="shared" si="2"/>
        <v>0</v>
      </c>
      <c r="Y23" s="44">
        <f t="shared" si="2"/>
        <v>0</v>
      </c>
      <c r="AA23" s="49" t="str">
        <f>IF(ESDEEInfo[[#This Row],[FN]]=0,"",CONCATENATE(ESDEEInfo[[#This Row],[FN]]," ",ESDEEInfo[[#This Row],[LN]]))</f>
        <v/>
      </c>
      <c r="AB23" s="49"/>
      <c r="AC23" s="49"/>
      <c r="AD23" s="49"/>
      <c r="AF23" s="53" t="str">
        <f>IFERROR(INDEX(ESDEEInfo[Name],_xlfn.AGGREGATE(15,6,(ROW(ESDEEInfo[Name])-MIN(ROW(ESDEEInfo[Name]))+1)/(ESDEEInfo[Name]&lt;&gt;"")/(ISNA(MATCH(ESDEEInfo[Name],$AF$3:AF22,0))),1)),"")</f>
        <v/>
      </c>
      <c r="AG23" s="44">
        <f t="shared" si="3"/>
        <v>0</v>
      </c>
      <c r="AH23" s="44">
        <f t="shared" si="3"/>
        <v>0</v>
      </c>
      <c r="AI23" s="44">
        <f t="shared" si="3"/>
        <v>0</v>
      </c>
      <c r="AJ23" s="44">
        <f t="shared" si="3"/>
        <v>0</v>
      </c>
      <c r="AL23" s="49"/>
      <c r="AM23" s="49"/>
      <c r="AN23" s="49"/>
      <c r="AO23" s="49"/>
      <c r="AQ23" s="53" t="str">
        <f t="array" ref="AQ23">IFERROR(INDEX(DAYEEInfo[Name],_xlfn.AGGREGATE(15,6,(ROW(DAYEEInfo[Name])-MIN(ROW(DAYEEInfo[Name]))+1)/(DAYEEInfo[Name]&lt;&gt;"")/(ISNA(MATCH(DAYEEInfo[Name],$AQ$3:AQ22,0))),1)),"")</f>
        <v/>
      </c>
      <c r="AR23" s="44" t="str">
        <f t="shared" si="4"/>
        <v/>
      </c>
      <c r="AS23" s="44" t="str">
        <f t="shared" si="4"/>
        <v/>
      </c>
      <c r="AT23" s="44" t="str">
        <f t="shared" si="4"/>
        <v/>
      </c>
      <c r="AU23" s="44" t="str">
        <f t="shared" si="4"/>
        <v/>
      </c>
      <c r="AV23" s="102" t="str">
        <f t="shared" si="4"/>
        <v/>
      </c>
      <c r="AW23" s="102" t="str">
        <f t="shared" si="4"/>
        <v/>
      </c>
      <c r="AX23" s="102" t="str">
        <f t="shared" si="4"/>
        <v/>
      </c>
    </row>
    <row r="24" spans="1:50" ht="15" customHeight="1" x14ac:dyDescent="0.25">
      <c r="A24" s="6"/>
      <c r="B24" s="1" t="str">
        <f t="array" ref="B24">IFERROR(IF($B$3=Worksheet!$K$3,INDEX(Table43[EE Name],MATCH(0,COUNTIF($B$13:B23,Table43[EE Name]),0)),IF($B$3=Worksheet!$K$4,INDEX(Table4312[EE Name],MATCH(0,COUNTIF($B$13:B23,Table4312[EE Name]),0)),IF($B$3=Worksheet!$K$2,INDEX(ESDPosition[EE Name],MATCH(0,COUNTIF($B$13:B23,ESDPosition[EE Name]),0)),IF($B$3=Worksheet!$K$5,INDEX(DAYPosition[EE Name],MATCH(0,COUNTIF($B$13:B23,DAYPosition[EE Name]),0)),"")))),"")</f>
        <v/>
      </c>
      <c r="C24" s="1"/>
      <c r="D24" s="64"/>
      <c r="E24" s="49"/>
      <c r="F24" s="90"/>
      <c r="G24" s="90"/>
      <c r="H24" s="90"/>
      <c r="J24" s="53" t="str">
        <f>IFERROR(INDEX(Table54[Name],_xlfn.AGGREGATE(15,6,(ROW(Table54[Name])-MIN(ROW(Table54[Name]))+1)/(Table54[Name]&lt;&gt;"")/(ISNA(MATCH(Table54[Name],$J$3:J23,0))),1)),"")</f>
        <v/>
      </c>
      <c r="K24" s="44">
        <f t="shared" ref="K24:N43" si="5">IF(COLUMN()-$J$1&lt;=COUNTIF($E$4:$E$62,$J24),INDEX($H$4:$H$62,MATCH($J24,$E$4:$E$62,0)+COLUMN()-$K$1),"")</f>
        <v>0</v>
      </c>
      <c r="L24" s="44">
        <f t="shared" si="5"/>
        <v>0</v>
      </c>
      <c r="M24" s="44">
        <f t="shared" si="5"/>
        <v>0</v>
      </c>
      <c r="N24" s="44">
        <f t="shared" si="5"/>
        <v>0</v>
      </c>
      <c r="P24" s="49" t="str">
        <f>IF(MONEEInfo[[#This Row],[FN]]=0,"",CONCATENATE(MONEEInfo[[#This Row],[FN]]," ",MONEEInfo[[#This Row],[LN]]))</f>
        <v/>
      </c>
      <c r="Q24" s="49"/>
      <c r="R24" s="49"/>
      <c r="S24" s="49"/>
      <c r="U24" s="53" t="str">
        <f>IFERROR(INDEX(MONEEInfo[Name],_xlfn.AGGREGATE(15,6,(ROW(MONEEInfo[Name])-MIN(ROW(MONEEInfo[Name]))+1)/(MONEEInfo[Name]&lt;&gt;"")/(ISNA(MATCH(MONEEInfo[Name],$U$3:U23,0))),1)),"")</f>
        <v/>
      </c>
      <c r="V24" s="44">
        <f t="shared" ref="V24:Y43" si="6">IF(COLUMN()-$U$1&lt;=COUNTIF($P$4:$P$62,$U24),INDEX($S$4:$S$62,MATCH($U24,$P$4:$P$62,0)+COLUMN()-$V$1),"")</f>
        <v>0</v>
      </c>
      <c r="W24" s="44">
        <f t="shared" si="6"/>
        <v>0</v>
      </c>
      <c r="X24" s="44">
        <f t="shared" si="6"/>
        <v>0</v>
      </c>
      <c r="Y24" s="44">
        <f t="shared" si="6"/>
        <v>0</v>
      </c>
      <c r="AA24" s="49" t="str">
        <f>IF(ESDEEInfo[[#This Row],[FN]]=0,"",CONCATENATE(ESDEEInfo[[#This Row],[FN]]," ",ESDEEInfo[[#This Row],[LN]]))</f>
        <v/>
      </c>
      <c r="AB24" s="49"/>
      <c r="AC24" s="49"/>
      <c r="AD24" s="49"/>
      <c r="AF24" s="53" t="str">
        <f>IFERROR(INDEX(ESDEEInfo[Name],_xlfn.AGGREGATE(15,6,(ROW(ESDEEInfo[Name])-MIN(ROW(ESDEEInfo[Name]))+1)/(ESDEEInfo[Name]&lt;&gt;"")/(ISNA(MATCH(ESDEEInfo[Name],$AF$3:AF23,0))),1)),"")</f>
        <v/>
      </c>
      <c r="AG24" s="44">
        <f t="shared" ref="AG24:AJ43" si="7">IFERROR(IF(COLUMN()-$AF$1&lt;=COUNTIF($AA$4:$AA$62,$AF24),INDEX($AD$4:$AD$62,MATCH($AF24,$AA$4:$AA$62,0)+COLUMN()-$AG$1),""),"")</f>
        <v>0</v>
      </c>
      <c r="AH24" s="44">
        <f t="shared" si="7"/>
        <v>0</v>
      </c>
      <c r="AI24" s="44">
        <f t="shared" si="7"/>
        <v>0</v>
      </c>
      <c r="AJ24" s="44">
        <f t="shared" si="7"/>
        <v>0</v>
      </c>
      <c r="AL24" s="49"/>
      <c r="AM24" s="49"/>
      <c r="AN24" s="49"/>
      <c r="AO24" s="49"/>
      <c r="AQ24" s="53" t="str">
        <f t="array" ref="AQ24">IFERROR(INDEX(DAYEEInfo[Name],_xlfn.AGGREGATE(15,6,(ROW(DAYEEInfo[Name])-MIN(ROW(DAYEEInfo[Name]))+1)/(DAYEEInfo[Name]&lt;&gt;"")/(ISNA(MATCH(DAYEEInfo[Name],$AQ$3:AQ23,0))),1)),"")</f>
        <v/>
      </c>
      <c r="AR24" s="44" t="str">
        <f t="shared" ref="AR24:AX43" si="8">IFERROR(IF(COLUMN()-$AQ$1&lt;=COUNTIF($AL$4:$AL$62,$AQ24),INDEX($AO$4:$AO$62,MATCH($AQ24,$AL$4:$AL$62,0)+COLUMN()-$AR$1),""),"")</f>
        <v/>
      </c>
      <c r="AS24" s="44" t="str">
        <f t="shared" si="8"/>
        <v/>
      </c>
      <c r="AT24" s="44" t="str">
        <f t="shared" si="8"/>
        <v/>
      </c>
      <c r="AU24" s="44" t="str">
        <f t="shared" si="8"/>
        <v/>
      </c>
      <c r="AV24" s="102" t="str">
        <f t="shared" si="8"/>
        <v/>
      </c>
      <c r="AW24" s="102" t="str">
        <f t="shared" si="8"/>
        <v/>
      </c>
      <c r="AX24" s="102" t="str">
        <f t="shared" si="8"/>
        <v/>
      </c>
    </row>
    <row r="25" spans="1:50" ht="15" customHeight="1" x14ac:dyDescent="0.25">
      <c r="A25" s="6"/>
      <c r="B25" s="1" t="str">
        <f t="array" ref="B25">IFERROR(IF($B$3=Worksheet!$K$3,INDEX(Table43[EE Name],MATCH(0,COUNTIF($B$13:B24,Table43[EE Name]),0)),IF($B$3=Worksheet!$K$4,INDEX(Table4312[EE Name],MATCH(0,COUNTIF($B$13:B24,Table4312[EE Name]),0)),IF($B$3=Worksheet!$K$2,INDEX(ESDPosition[EE Name],MATCH(0,COUNTIF($B$13:B24,ESDPosition[EE Name]),0)),IF($B$3=Worksheet!$K$5,INDEX(DAYPosition[EE Name],MATCH(0,COUNTIF($B$13:B24,DAYPosition[EE Name]),0)),"")))),"")</f>
        <v/>
      </c>
      <c r="C25" s="1"/>
      <c r="D25" s="64"/>
      <c r="E25" s="49"/>
      <c r="F25" s="90"/>
      <c r="G25" s="90"/>
      <c r="H25" s="90"/>
      <c r="J25" s="53" t="str">
        <f>IFERROR(INDEX(Table54[Name],_xlfn.AGGREGATE(15,6,(ROW(Table54[Name])-MIN(ROW(Table54[Name]))+1)/(Table54[Name]&lt;&gt;"")/(ISNA(MATCH(Table54[Name],$J$3:J24,0))),1)),"")</f>
        <v/>
      </c>
      <c r="K25" s="44">
        <f t="shared" si="5"/>
        <v>0</v>
      </c>
      <c r="L25" s="44">
        <f t="shared" si="5"/>
        <v>0</v>
      </c>
      <c r="M25" s="44">
        <f t="shared" si="5"/>
        <v>0</v>
      </c>
      <c r="N25" s="44">
        <f t="shared" si="5"/>
        <v>0</v>
      </c>
      <c r="P25" s="49" t="str">
        <f>IF(MONEEInfo[[#This Row],[FN]]=0,"",CONCATENATE(MONEEInfo[[#This Row],[FN]]," ",MONEEInfo[[#This Row],[LN]]))</f>
        <v/>
      </c>
      <c r="Q25" s="49"/>
      <c r="R25" s="49"/>
      <c r="S25" s="49"/>
      <c r="U25" s="53" t="str">
        <f>IFERROR(INDEX(MONEEInfo[Name],_xlfn.AGGREGATE(15,6,(ROW(MONEEInfo[Name])-MIN(ROW(MONEEInfo[Name]))+1)/(MONEEInfo[Name]&lt;&gt;"")/(ISNA(MATCH(MONEEInfo[Name],$U$3:U24,0))),1)),"")</f>
        <v/>
      </c>
      <c r="V25" s="44">
        <f t="shared" si="6"/>
        <v>0</v>
      </c>
      <c r="W25" s="44">
        <f t="shared" si="6"/>
        <v>0</v>
      </c>
      <c r="X25" s="44">
        <f t="shared" si="6"/>
        <v>0</v>
      </c>
      <c r="Y25" s="44">
        <f t="shared" si="6"/>
        <v>0</v>
      </c>
      <c r="AA25" s="49" t="str">
        <f>IF(ESDEEInfo[[#This Row],[FN]]=0,"",CONCATENATE(ESDEEInfo[[#This Row],[FN]]," ",ESDEEInfo[[#This Row],[LN]]))</f>
        <v/>
      </c>
      <c r="AB25" s="49"/>
      <c r="AC25" s="49"/>
      <c r="AD25" s="49"/>
      <c r="AF25" s="53" t="str">
        <f>IFERROR(INDEX(ESDEEInfo[Name],_xlfn.AGGREGATE(15,6,(ROW(ESDEEInfo[Name])-MIN(ROW(ESDEEInfo[Name]))+1)/(ESDEEInfo[Name]&lt;&gt;"")/(ISNA(MATCH(ESDEEInfo[Name],$AF$3:AF24,0))),1)),"")</f>
        <v/>
      </c>
      <c r="AG25" s="44">
        <f t="shared" si="7"/>
        <v>0</v>
      </c>
      <c r="AH25" s="44">
        <f t="shared" si="7"/>
        <v>0</v>
      </c>
      <c r="AI25" s="44">
        <f t="shared" si="7"/>
        <v>0</v>
      </c>
      <c r="AJ25" s="44">
        <f t="shared" si="7"/>
        <v>0</v>
      </c>
      <c r="AL25" s="49"/>
      <c r="AM25" s="49"/>
      <c r="AN25" s="49"/>
      <c r="AO25" s="49"/>
      <c r="AQ25" s="53" t="str">
        <f t="array" ref="AQ25">IFERROR(INDEX(DAYEEInfo[Name],_xlfn.AGGREGATE(15,6,(ROW(DAYEEInfo[Name])-MIN(ROW(DAYEEInfo[Name]))+1)/(DAYEEInfo[Name]&lt;&gt;"")/(ISNA(MATCH(DAYEEInfo[Name],$AQ$3:AQ24,0))),1)),"")</f>
        <v/>
      </c>
      <c r="AR25" s="44" t="str">
        <f t="shared" si="8"/>
        <v/>
      </c>
      <c r="AS25" s="44" t="str">
        <f t="shared" si="8"/>
        <v/>
      </c>
      <c r="AT25" s="44" t="str">
        <f t="shared" si="8"/>
        <v/>
      </c>
      <c r="AU25" s="44" t="str">
        <f t="shared" si="8"/>
        <v/>
      </c>
      <c r="AV25" s="102" t="str">
        <f t="shared" si="8"/>
        <v/>
      </c>
      <c r="AW25" s="102" t="str">
        <f t="shared" si="8"/>
        <v/>
      </c>
      <c r="AX25" s="102" t="str">
        <f t="shared" si="8"/>
        <v/>
      </c>
    </row>
    <row r="26" spans="1:50" ht="15" customHeight="1" x14ac:dyDescent="0.25">
      <c r="A26" s="6"/>
      <c r="B26" s="1" t="str">
        <f t="array" ref="B26">IFERROR(IF($B$3=Worksheet!$K$3,INDEX(Table43[EE Name],MATCH(0,COUNTIF($B$13:B25,Table43[EE Name]),0)),IF($B$3=Worksheet!$K$4,INDEX(Table4312[EE Name],MATCH(0,COUNTIF($B$13:B25,Table4312[EE Name]),0)),IF($B$3=Worksheet!$K$2,INDEX(ESDPosition[EE Name],MATCH(0,COUNTIF($B$13:B25,ESDPosition[EE Name]),0)),IF($B$3=Worksheet!$K$5,INDEX(DAYPosition[EE Name],MATCH(0,COUNTIF($B$13:B25,DAYPosition[EE Name]),0)),"")))),"")</f>
        <v/>
      </c>
      <c r="C26" s="1"/>
      <c r="D26" s="64"/>
      <c r="E26" s="49"/>
      <c r="F26" s="90"/>
      <c r="G26" s="90"/>
      <c r="H26" s="90"/>
      <c r="J26" s="53" t="str">
        <f>IFERROR(INDEX(Table54[Name],_xlfn.AGGREGATE(15,6,(ROW(Table54[Name])-MIN(ROW(Table54[Name]))+1)/(Table54[Name]&lt;&gt;"")/(ISNA(MATCH(Table54[Name],$J$3:J25,0))),1)),"")</f>
        <v/>
      </c>
      <c r="K26" s="44">
        <f t="shared" si="5"/>
        <v>0</v>
      </c>
      <c r="L26" s="44">
        <f t="shared" si="5"/>
        <v>0</v>
      </c>
      <c r="M26" s="44">
        <f t="shared" si="5"/>
        <v>0</v>
      </c>
      <c r="N26" s="44">
        <f t="shared" si="5"/>
        <v>0</v>
      </c>
      <c r="P26" s="49" t="str">
        <f>IF(MONEEInfo[[#This Row],[FN]]=0,"",CONCATENATE(MONEEInfo[[#This Row],[FN]]," ",MONEEInfo[[#This Row],[LN]]))</f>
        <v/>
      </c>
      <c r="Q26" s="49"/>
      <c r="R26" s="49"/>
      <c r="S26" s="49"/>
      <c r="U26" s="53" t="str">
        <f>IFERROR(INDEX(MONEEInfo[Name],_xlfn.AGGREGATE(15,6,(ROW(MONEEInfo[Name])-MIN(ROW(MONEEInfo[Name]))+1)/(MONEEInfo[Name]&lt;&gt;"")/(ISNA(MATCH(MONEEInfo[Name],$U$3:U25,0))),1)),"")</f>
        <v/>
      </c>
      <c r="V26" s="44">
        <f t="shared" si="6"/>
        <v>0</v>
      </c>
      <c r="W26" s="44">
        <f t="shared" si="6"/>
        <v>0</v>
      </c>
      <c r="X26" s="44">
        <f t="shared" si="6"/>
        <v>0</v>
      </c>
      <c r="Y26" s="44">
        <f t="shared" si="6"/>
        <v>0</v>
      </c>
      <c r="AA26" s="49" t="str">
        <f>IF(ESDEEInfo[[#This Row],[FN]]=0,"",CONCATENATE(ESDEEInfo[[#This Row],[FN]]," ",ESDEEInfo[[#This Row],[LN]]))</f>
        <v/>
      </c>
      <c r="AB26" s="49"/>
      <c r="AC26" s="49"/>
      <c r="AD26" s="49"/>
      <c r="AF26" s="53" t="str">
        <f>IFERROR(INDEX(ESDEEInfo[Name],_xlfn.AGGREGATE(15,6,(ROW(ESDEEInfo[Name])-MIN(ROW(ESDEEInfo[Name]))+1)/(ESDEEInfo[Name]&lt;&gt;"")/(ISNA(MATCH(ESDEEInfo[Name],$AF$3:AF25,0))),1)),"")</f>
        <v/>
      </c>
      <c r="AG26" s="44">
        <f t="shared" si="7"/>
        <v>0</v>
      </c>
      <c r="AH26" s="44">
        <f t="shared" si="7"/>
        <v>0</v>
      </c>
      <c r="AI26" s="44">
        <f t="shared" si="7"/>
        <v>0</v>
      </c>
      <c r="AJ26" s="44">
        <f t="shared" si="7"/>
        <v>0</v>
      </c>
      <c r="AL26" s="49"/>
      <c r="AM26" s="49"/>
      <c r="AN26" s="49"/>
      <c r="AO26" s="49"/>
      <c r="AQ26" s="53" t="str">
        <f t="array" ref="AQ26">IFERROR(INDEX(DAYEEInfo[Name],_xlfn.AGGREGATE(15,6,(ROW(DAYEEInfo[Name])-MIN(ROW(DAYEEInfo[Name]))+1)/(DAYEEInfo[Name]&lt;&gt;"")/(ISNA(MATCH(DAYEEInfo[Name],$AQ$3:AQ25,0))),1)),"")</f>
        <v/>
      </c>
      <c r="AR26" s="44" t="str">
        <f t="shared" si="8"/>
        <v/>
      </c>
      <c r="AS26" s="44" t="str">
        <f t="shared" si="8"/>
        <v/>
      </c>
      <c r="AT26" s="44" t="str">
        <f t="shared" si="8"/>
        <v/>
      </c>
      <c r="AU26" s="44" t="str">
        <f t="shared" si="8"/>
        <v/>
      </c>
      <c r="AV26" s="102" t="str">
        <f t="shared" si="8"/>
        <v/>
      </c>
      <c r="AW26" s="102" t="str">
        <f t="shared" si="8"/>
        <v/>
      </c>
      <c r="AX26" s="102" t="str">
        <f t="shared" si="8"/>
        <v/>
      </c>
    </row>
    <row r="27" spans="1:50" ht="15" x14ac:dyDescent="0.25">
      <c r="A27" s="6"/>
      <c r="B27" s="1" t="str">
        <f t="array" ref="B27">IFERROR(IF($B$3=Worksheet!$K$3,INDEX(Table43[EE Name],MATCH(0,COUNTIF($B$13:B26,Table43[EE Name]),0)),IF($B$3=Worksheet!$K$4,INDEX(Table4312[EE Name],MATCH(0,COUNTIF($B$13:B26,Table4312[EE Name]),0)),IF($B$3=Worksheet!$K$2,INDEX(ESDPosition[EE Name],MATCH(0,COUNTIF($B$13:B26,ESDPosition[EE Name]),0)),IF($B$3=Worksheet!$K$5,INDEX(DAYPosition[EE Name],MATCH(0,COUNTIF($B$13:B26,DAYPosition[EE Name]),0)),"")))),"")</f>
        <v/>
      </c>
      <c r="C27" s="1"/>
      <c r="D27" s="64"/>
      <c r="E27" s="49"/>
      <c r="F27" s="90"/>
      <c r="G27" s="90"/>
      <c r="H27" s="90"/>
      <c r="J27" s="53" t="str">
        <f>IFERROR(INDEX(Table54[Name],_xlfn.AGGREGATE(15,6,(ROW(Table54[Name])-MIN(ROW(Table54[Name]))+1)/(Table54[Name]&lt;&gt;"")/(ISNA(MATCH(Table54[Name],$J$3:J26,0))),1)),"")</f>
        <v/>
      </c>
      <c r="K27" s="44">
        <f t="shared" si="5"/>
        <v>0</v>
      </c>
      <c r="L27" s="44">
        <f t="shared" si="5"/>
        <v>0</v>
      </c>
      <c r="M27" s="44">
        <f t="shared" si="5"/>
        <v>0</v>
      </c>
      <c r="N27" s="44">
        <f t="shared" si="5"/>
        <v>0</v>
      </c>
      <c r="P27" s="49" t="str">
        <f>IF(MONEEInfo[[#This Row],[FN]]=0,"",CONCATENATE(MONEEInfo[[#This Row],[FN]]," ",MONEEInfo[[#This Row],[LN]]))</f>
        <v/>
      </c>
      <c r="Q27" s="49"/>
      <c r="R27" s="49"/>
      <c r="S27" s="49"/>
      <c r="U27" s="53" t="str">
        <f>IFERROR(INDEX(MONEEInfo[Name],_xlfn.AGGREGATE(15,6,(ROW(MONEEInfo[Name])-MIN(ROW(MONEEInfo[Name]))+1)/(MONEEInfo[Name]&lt;&gt;"")/(ISNA(MATCH(MONEEInfo[Name],$U$3:U26,0))),1)),"")</f>
        <v/>
      </c>
      <c r="V27" s="44">
        <f t="shared" si="6"/>
        <v>0</v>
      </c>
      <c r="W27" s="44">
        <f t="shared" si="6"/>
        <v>0</v>
      </c>
      <c r="X27" s="44">
        <f t="shared" si="6"/>
        <v>0</v>
      </c>
      <c r="Y27" s="44">
        <f t="shared" si="6"/>
        <v>0</v>
      </c>
      <c r="AA27" s="49" t="str">
        <f>IF(ESDEEInfo[[#This Row],[FN]]=0,"",CONCATENATE(ESDEEInfo[[#This Row],[FN]]," ",ESDEEInfo[[#This Row],[LN]]))</f>
        <v/>
      </c>
      <c r="AB27" s="49"/>
      <c r="AC27" s="49"/>
      <c r="AD27" s="49"/>
      <c r="AF27" s="53" t="str">
        <f>IFERROR(INDEX(ESDEEInfo[Name],_xlfn.AGGREGATE(15,6,(ROW(ESDEEInfo[Name])-MIN(ROW(ESDEEInfo[Name]))+1)/(ESDEEInfo[Name]&lt;&gt;"")/(ISNA(MATCH(ESDEEInfo[Name],$AF$3:AF26,0))),1)),"")</f>
        <v/>
      </c>
      <c r="AG27" s="44">
        <f t="shared" si="7"/>
        <v>0</v>
      </c>
      <c r="AH27" s="44">
        <f t="shared" si="7"/>
        <v>0</v>
      </c>
      <c r="AI27" s="44">
        <f t="shared" si="7"/>
        <v>0</v>
      </c>
      <c r="AJ27" s="44">
        <f t="shared" si="7"/>
        <v>0</v>
      </c>
      <c r="AL27" s="49" t="str">
        <f>IF(DAYEEInfo[[#This Row],[FN]]=0,"",CONCATENATE(DAYEEInfo[[#This Row],[FN]]," ",DAYEEInfo[[#This Row],[LN]]))</f>
        <v xml:space="preserve"> </v>
      </c>
      <c r="AM27" s="49" t="s">
        <v>114</v>
      </c>
      <c r="AN27" s="49" t="s">
        <v>114</v>
      </c>
      <c r="AO27" s="49" t="s">
        <v>114</v>
      </c>
      <c r="AQ27" s="53" t="str">
        <f t="array" ref="AQ27">IFERROR(INDEX(DAYEEInfo[Name],_xlfn.AGGREGATE(15,6,(ROW(DAYEEInfo[Name])-MIN(ROW(DAYEEInfo[Name]))+1)/(DAYEEInfo[Name]&lt;&gt;"")/(ISNA(MATCH(DAYEEInfo[Name],$AQ$3:AQ26,0))),1)),"")</f>
        <v/>
      </c>
      <c r="AR27" s="44" t="str">
        <f t="shared" si="8"/>
        <v/>
      </c>
      <c r="AS27" s="44" t="str">
        <f t="shared" si="8"/>
        <v/>
      </c>
      <c r="AT27" s="44" t="str">
        <f t="shared" si="8"/>
        <v/>
      </c>
      <c r="AU27" s="44" t="str">
        <f t="shared" si="8"/>
        <v/>
      </c>
      <c r="AV27" s="102" t="str">
        <f t="shared" si="8"/>
        <v/>
      </c>
      <c r="AW27" s="102" t="str">
        <f t="shared" si="8"/>
        <v/>
      </c>
      <c r="AX27" s="102" t="str">
        <f t="shared" si="8"/>
        <v/>
      </c>
    </row>
    <row r="28" spans="1:50" ht="12.75" customHeight="1" x14ac:dyDescent="0.25">
      <c r="A28" s="6"/>
      <c r="B28" s="1" t="str">
        <f t="array" ref="B28">IFERROR(IF($B$3=Worksheet!$K$3,INDEX(Table43[EE Name],MATCH(0,COUNTIF($B$13:B27,Table43[EE Name]),0)),IF($B$3=Worksheet!$K$4,INDEX(Table4312[EE Name],MATCH(0,COUNTIF($B$13:B27,Table4312[EE Name]),0)),IF($B$3=Worksheet!$K$2,INDEX(ESDPosition[EE Name],MATCH(0,COUNTIF($B$13:B27,ESDPosition[EE Name]),0)),IF($B$3=Worksheet!$K$5,INDEX(DAYPosition[EE Name],MATCH(0,COUNTIF($B$13:B27,DAYPosition[EE Name]),0)),"")))),"")</f>
        <v/>
      </c>
      <c r="C28" s="1"/>
      <c r="D28" s="64"/>
      <c r="E28" s="49"/>
      <c r="F28" s="90"/>
      <c r="G28" s="90"/>
      <c r="H28" s="90"/>
      <c r="J28" s="53" t="str">
        <f>IFERROR(INDEX(Table54[Name],_xlfn.AGGREGATE(15,6,(ROW(Table54[Name])-MIN(ROW(Table54[Name]))+1)/(Table54[Name]&lt;&gt;"")/(ISNA(MATCH(Table54[Name],$J$3:J27,0))),1)),"")</f>
        <v/>
      </c>
      <c r="K28" s="44">
        <f t="shared" si="5"/>
        <v>0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P28" s="49" t="str">
        <f>IF(MONEEInfo[[#This Row],[FN]]=0,"",CONCATENATE(MONEEInfo[[#This Row],[FN]]," ",MONEEInfo[[#This Row],[LN]]))</f>
        <v/>
      </c>
      <c r="Q28" s="49"/>
      <c r="R28" s="49"/>
      <c r="S28" s="49"/>
      <c r="U28" s="53" t="str">
        <f>IFERROR(INDEX(MONEEInfo[Name],_xlfn.AGGREGATE(15,6,(ROW(MONEEInfo[Name])-MIN(ROW(MONEEInfo[Name]))+1)/(MONEEInfo[Name]&lt;&gt;"")/(ISNA(MATCH(MONEEInfo[Name],$U$3:U27,0))),1)),"")</f>
        <v/>
      </c>
      <c r="V28" s="44">
        <f t="shared" si="6"/>
        <v>0</v>
      </c>
      <c r="W28" s="44">
        <f t="shared" si="6"/>
        <v>0</v>
      </c>
      <c r="X28" s="44">
        <f t="shared" si="6"/>
        <v>0</v>
      </c>
      <c r="Y28" s="44">
        <f t="shared" si="6"/>
        <v>0</v>
      </c>
      <c r="AA28" s="49" t="str">
        <f>IF(ESDEEInfo[[#This Row],[FN]]=0,"",CONCATENATE(ESDEEInfo[[#This Row],[FN]]," ",ESDEEInfo[[#This Row],[LN]]))</f>
        <v/>
      </c>
      <c r="AB28" s="49"/>
      <c r="AC28" s="49"/>
      <c r="AD28" s="49"/>
      <c r="AF28" s="53" t="str">
        <f>IFERROR(INDEX(ESDEEInfo[Name],_xlfn.AGGREGATE(15,6,(ROW(ESDEEInfo[Name])-MIN(ROW(ESDEEInfo[Name]))+1)/(ESDEEInfo[Name]&lt;&gt;"")/(ISNA(MATCH(ESDEEInfo[Name],$AF$3:AF27,0))),1)),"")</f>
        <v/>
      </c>
      <c r="AG28" s="44">
        <f t="shared" si="7"/>
        <v>0</v>
      </c>
      <c r="AH28" s="44">
        <f t="shared" si="7"/>
        <v>0</v>
      </c>
      <c r="AI28" s="44">
        <f t="shared" si="7"/>
        <v>0</v>
      </c>
      <c r="AJ28" s="44">
        <f t="shared" si="7"/>
        <v>0</v>
      </c>
      <c r="AL28" s="49" t="str">
        <f>IF(DAYEEInfo[[#This Row],[FN]]=0,"",CONCATENATE(DAYEEInfo[[#This Row],[FN]]," ",DAYEEInfo[[#This Row],[LN]]))</f>
        <v xml:space="preserve"> </v>
      </c>
      <c r="AM28" s="49" t="s">
        <v>114</v>
      </c>
      <c r="AN28" s="49" t="s">
        <v>114</v>
      </c>
      <c r="AO28" s="49" t="s">
        <v>114</v>
      </c>
      <c r="AQ28" s="53" t="str">
        <f t="array" ref="AQ28">IFERROR(INDEX(DAYEEInfo[Name],_xlfn.AGGREGATE(15,6,(ROW(DAYEEInfo[Name])-MIN(ROW(DAYEEInfo[Name]))+1)/(DAYEEInfo[Name]&lt;&gt;"")/(ISNA(MATCH(DAYEEInfo[Name],$AQ$3:AQ27,0))),1)),"")</f>
        <v/>
      </c>
      <c r="AR28" s="44" t="str">
        <f t="shared" si="8"/>
        <v/>
      </c>
      <c r="AS28" s="44" t="str">
        <f t="shared" si="8"/>
        <v/>
      </c>
      <c r="AT28" s="44" t="str">
        <f t="shared" si="8"/>
        <v/>
      </c>
      <c r="AU28" s="44" t="str">
        <f t="shared" si="8"/>
        <v/>
      </c>
      <c r="AV28" s="102" t="str">
        <f t="shared" si="8"/>
        <v/>
      </c>
      <c r="AW28" s="102" t="str">
        <f t="shared" si="8"/>
        <v/>
      </c>
      <c r="AX28" s="102" t="str">
        <f t="shared" si="8"/>
        <v/>
      </c>
    </row>
    <row r="29" spans="1:50" ht="12.75" customHeight="1" x14ac:dyDescent="0.25">
      <c r="A29" s="6"/>
      <c r="B29" s="1" t="str">
        <f t="array" ref="B29">IFERROR(IF($B$3=Worksheet!$K$3,INDEX(Table43[EE Name],MATCH(0,COUNTIF($B$13:B28,Table43[EE Name]),0)),IF($B$3=Worksheet!$K$4,INDEX(Table4312[EE Name],MATCH(0,COUNTIF($B$13:B28,Table4312[EE Name]),0)),IF($B$3=Worksheet!$K$2,INDEX(ESDPosition[EE Name],MATCH(0,COUNTIF($B$13:B28,ESDPosition[EE Name]),0)),IF($B$3=Worksheet!$K$5,INDEX(DAYPosition[EE Name],MATCH(0,COUNTIF($B$13:B28,DAYPosition[EE Name]),0)),"")))),"")</f>
        <v/>
      </c>
      <c r="C29" s="1"/>
      <c r="D29" s="64"/>
      <c r="E29" s="49"/>
      <c r="F29" s="90"/>
      <c r="G29" s="90"/>
      <c r="H29" s="90"/>
      <c r="J29" s="53" t="str">
        <f>IFERROR(INDEX(Table54[Name],_xlfn.AGGREGATE(15,6,(ROW(Table54[Name])-MIN(ROW(Table54[Name]))+1)/(Table54[Name]&lt;&gt;"")/(ISNA(MATCH(Table54[Name],$J$3:J28,0))),1)),"")</f>
        <v/>
      </c>
      <c r="K29" s="44">
        <f t="shared" si="5"/>
        <v>0</v>
      </c>
      <c r="L29" s="44">
        <f t="shared" si="5"/>
        <v>0</v>
      </c>
      <c r="M29" s="44">
        <f t="shared" si="5"/>
        <v>0</v>
      </c>
      <c r="N29" s="44">
        <f t="shared" si="5"/>
        <v>0</v>
      </c>
      <c r="P29" s="49" t="str">
        <f>IF(MONEEInfo[[#This Row],[FN]]=0,"",CONCATENATE(MONEEInfo[[#This Row],[FN]]," ",MONEEInfo[[#This Row],[LN]]))</f>
        <v/>
      </c>
      <c r="Q29" s="49"/>
      <c r="R29" s="49"/>
      <c r="S29" s="49"/>
      <c r="U29" s="53" t="str">
        <f>IFERROR(INDEX(MONEEInfo[Name],_xlfn.AGGREGATE(15,6,(ROW(MONEEInfo[Name])-MIN(ROW(MONEEInfo[Name]))+1)/(MONEEInfo[Name]&lt;&gt;"")/(ISNA(MATCH(MONEEInfo[Name],$U$3:U28,0))),1)),"")</f>
        <v/>
      </c>
      <c r="V29" s="44">
        <f t="shared" si="6"/>
        <v>0</v>
      </c>
      <c r="W29" s="44">
        <f t="shared" si="6"/>
        <v>0</v>
      </c>
      <c r="X29" s="44">
        <f t="shared" si="6"/>
        <v>0</v>
      </c>
      <c r="Y29" s="44">
        <f t="shared" si="6"/>
        <v>0</v>
      </c>
      <c r="AA29" s="49" t="str">
        <f>IF(ESDEEInfo[[#This Row],[FN]]=0,"",CONCATENATE(ESDEEInfo[[#This Row],[FN]]," ",ESDEEInfo[[#This Row],[LN]]))</f>
        <v/>
      </c>
      <c r="AB29" s="49"/>
      <c r="AC29" s="49"/>
      <c r="AD29" s="49"/>
      <c r="AF29" s="53" t="str">
        <f>IFERROR(INDEX(ESDEEInfo[Name],_xlfn.AGGREGATE(15,6,(ROW(ESDEEInfo[Name])-MIN(ROW(ESDEEInfo[Name]))+1)/(ESDEEInfo[Name]&lt;&gt;"")/(ISNA(MATCH(ESDEEInfo[Name],$AF$3:AF28,0))),1)),"")</f>
        <v/>
      </c>
      <c r="AG29" s="44">
        <f t="shared" si="7"/>
        <v>0</v>
      </c>
      <c r="AH29" s="44">
        <f t="shared" si="7"/>
        <v>0</v>
      </c>
      <c r="AI29" s="44">
        <f t="shared" si="7"/>
        <v>0</v>
      </c>
      <c r="AJ29" s="44">
        <f t="shared" si="7"/>
        <v>0</v>
      </c>
      <c r="AL29" s="49" t="str">
        <f>IF(DAYEEInfo[[#This Row],[FN]]=0,"",CONCATENATE(DAYEEInfo[[#This Row],[FN]]," ",DAYEEInfo[[#This Row],[LN]]))</f>
        <v xml:space="preserve"> </v>
      </c>
      <c r="AM29" s="49" t="s">
        <v>114</v>
      </c>
      <c r="AN29" s="49" t="s">
        <v>114</v>
      </c>
      <c r="AO29" s="49" t="s">
        <v>114</v>
      </c>
      <c r="AQ29" s="53" t="str">
        <f t="array" ref="AQ29">IFERROR(INDEX(DAYEEInfo[Name],_xlfn.AGGREGATE(15,6,(ROW(DAYEEInfo[Name])-MIN(ROW(DAYEEInfo[Name]))+1)/(DAYEEInfo[Name]&lt;&gt;"")/(ISNA(MATCH(DAYEEInfo[Name],$AQ$3:AQ28,0))),1)),"")</f>
        <v/>
      </c>
      <c r="AR29" s="44" t="str">
        <f t="shared" si="8"/>
        <v/>
      </c>
      <c r="AS29" s="44" t="str">
        <f t="shared" si="8"/>
        <v/>
      </c>
      <c r="AT29" s="44" t="str">
        <f t="shared" si="8"/>
        <v/>
      </c>
      <c r="AU29" s="44" t="str">
        <f t="shared" si="8"/>
        <v/>
      </c>
      <c r="AV29" s="102" t="str">
        <f t="shared" si="8"/>
        <v/>
      </c>
      <c r="AW29" s="102" t="str">
        <f t="shared" si="8"/>
        <v/>
      </c>
      <c r="AX29" s="102" t="str">
        <f t="shared" si="8"/>
        <v/>
      </c>
    </row>
    <row r="30" spans="1:50" ht="12.75" customHeight="1" x14ac:dyDescent="0.25">
      <c r="A30" s="6"/>
      <c r="B30" s="1" t="str">
        <f t="array" ref="B30">IFERROR(IF($B$3=Worksheet!$K$3,INDEX(Table43[EE Name],MATCH(0,COUNTIF($B$13:B29,Table43[EE Name]),0)),IF($B$3=Worksheet!$K$4,INDEX(Table4312[EE Name],MATCH(0,COUNTIF($B$13:B29,Table4312[EE Name]),0)),IF($B$3=Worksheet!$K$2,INDEX(ESDPosition[EE Name],MATCH(0,COUNTIF($B$13:B29,ESDPosition[EE Name]),0)),IF($B$3=Worksheet!$K$5,INDEX(DAYPosition[EE Name],MATCH(0,COUNTIF($B$13:B29,DAYPosition[EE Name]),0)),"")))),"")</f>
        <v/>
      </c>
      <c r="C30" s="1"/>
      <c r="D30" s="64"/>
      <c r="E30" s="49"/>
      <c r="F30" s="90"/>
      <c r="G30" s="90"/>
      <c r="H30" s="90"/>
      <c r="J30" s="53" t="str">
        <f>IFERROR(INDEX(Table54[Name],_xlfn.AGGREGATE(15,6,(ROW(Table54[Name])-MIN(ROW(Table54[Name]))+1)/(Table54[Name]&lt;&gt;"")/(ISNA(MATCH(Table54[Name],$J$3:J29,0))),1)),"")</f>
        <v/>
      </c>
      <c r="K30" s="44">
        <f t="shared" si="5"/>
        <v>0</v>
      </c>
      <c r="L30" s="44">
        <f t="shared" si="5"/>
        <v>0</v>
      </c>
      <c r="M30" s="44">
        <f t="shared" si="5"/>
        <v>0</v>
      </c>
      <c r="N30" s="44">
        <f t="shared" si="5"/>
        <v>0</v>
      </c>
      <c r="P30" s="49" t="str">
        <f>IF(MONEEInfo[[#This Row],[FN]]=0,"",CONCATENATE(MONEEInfo[[#This Row],[FN]]," ",MONEEInfo[[#This Row],[LN]]))</f>
        <v/>
      </c>
      <c r="Q30" s="49"/>
      <c r="R30" s="49"/>
      <c r="S30" s="49"/>
      <c r="U30" s="53" t="str">
        <f>IFERROR(INDEX(MONEEInfo[Name],_xlfn.AGGREGATE(15,6,(ROW(MONEEInfo[Name])-MIN(ROW(MONEEInfo[Name]))+1)/(MONEEInfo[Name]&lt;&gt;"")/(ISNA(MATCH(MONEEInfo[Name],$U$3:U29,0))),1)),"")</f>
        <v/>
      </c>
      <c r="V30" s="44">
        <f t="shared" si="6"/>
        <v>0</v>
      </c>
      <c r="W30" s="44">
        <f t="shared" si="6"/>
        <v>0</v>
      </c>
      <c r="X30" s="44">
        <f t="shared" si="6"/>
        <v>0</v>
      </c>
      <c r="Y30" s="44">
        <f t="shared" si="6"/>
        <v>0</v>
      </c>
      <c r="AA30" s="49" t="str">
        <f>IF(ESDEEInfo[[#This Row],[FN]]=0,"",CONCATENATE(ESDEEInfo[[#This Row],[FN]]," ",ESDEEInfo[[#This Row],[LN]]))</f>
        <v/>
      </c>
      <c r="AB30" s="49"/>
      <c r="AC30" s="49"/>
      <c r="AD30" s="49"/>
      <c r="AF30" s="53" t="str">
        <f>IFERROR(INDEX(ESDEEInfo[Name],_xlfn.AGGREGATE(15,6,(ROW(ESDEEInfo[Name])-MIN(ROW(ESDEEInfo[Name]))+1)/(ESDEEInfo[Name]&lt;&gt;"")/(ISNA(MATCH(ESDEEInfo[Name],$AF$3:AF29,0))),1)),"")</f>
        <v/>
      </c>
      <c r="AG30" s="44">
        <f t="shared" si="7"/>
        <v>0</v>
      </c>
      <c r="AH30" s="44">
        <f t="shared" si="7"/>
        <v>0</v>
      </c>
      <c r="AI30" s="44">
        <f t="shared" si="7"/>
        <v>0</v>
      </c>
      <c r="AJ30" s="44">
        <f t="shared" si="7"/>
        <v>0</v>
      </c>
      <c r="AL30" s="49" t="str">
        <f>IF(DAYEEInfo[[#This Row],[FN]]=0,"",CONCATENATE(DAYEEInfo[[#This Row],[FN]]," ",DAYEEInfo[[#This Row],[LN]]))</f>
        <v xml:space="preserve"> </v>
      </c>
      <c r="AM30" s="49" t="s">
        <v>114</v>
      </c>
      <c r="AN30" s="49" t="s">
        <v>114</v>
      </c>
      <c r="AO30" s="49" t="s">
        <v>114</v>
      </c>
      <c r="AQ30" s="53" t="str">
        <f t="array" ref="AQ30">IFERROR(INDEX(DAYEEInfo[Name],_xlfn.AGGREGATE(15,6,(ROW(DAYEEInfo[Name])-MIN(ROW(DAYEEInfo[Name]))+1)/(DAYEEInfo[Name]&lt;&gt;"")/(ISNA(MATCH(DAYEEInfo[Name],$AQ$3:AQ29,0))),1)),"")</f>
        <v/>
      </c>
      <c r="AR30" s="44" t="str">
        <f t="shared" si="8"/>
        <v/>
      </c>
      <c r="AS30" s="44" t="str">
        <f t="shared" si="8"/>
        <v/>
      </c>
      <c r="AT30" s="44" t="str">
        <f t="shared" si="8"/>
        <v/>
      </c>
      <c r="AU30" s="44" t="str">
        <f t="shared" si="8"/>
        <v/>
      </c>
      <c r="AV30" s="102" t="str">
        <f t="shared" si="8"/>
        <v/>
      </c>
      <c r="AW30" s="102" t="str">
        <f t="shared" si="8"/>
        <v/>
      </c>
      <c r="AX30" s="102" t="str">
        <f t="shared" si="8"/>
        <v/>
      </c>
    </row>
    <row r="31" spans="1:50" ht="12.75" customHeight="1" x14ac:dyDescent="0.25">
      <c r="A31" s="6"/>
      <c r="B31" s="1" t="str">
        <f t="array" ref="B31">IFERROR(IF($B$3=Worksheet!$K$3,INDEX(Table43[EE Name],MATCH(0,COUNTIF($B$13:B30,Table43[EE Name]),0)),IF($B$3=Worksheet!$K$4,INDEX(Table4312[EE Name],MATCH(0,COUNTIF($B$13:B30,Table4312[EE Name]),0)),IF($B$3=Worksheet!$K$2,INDEX(ESDPosition[EE Name],MATCH(0,COUNTIF($B$13:B30,ESDPosition[EE Name]),0)),IF($B$3=Worksheet!$K$5,INDEX(DAYPosition[EE Name],MATCH(0,COUNTIF($B$13:B30,DAYPosition[EE Name]),0)),"")))),"")</f>
        <v/>
      </c>
      <c r="C31" s="1"/>
      <c r="D31" s="64"/>
      <c r="E31" s="49"/>
      <c r="F31" s="90"/>
      <c r="G31" s="90"/>
      <c r="H31" s="90"/>
      <c r="J31" s="53" t="str">
        <f>IFERROR(INDEX(Table54[Name],_xlfn.AGGREGATE(15,6,(ROW(Table54[Name])-MIN(ROW(Table54[Name]))+1)/(Table54[Name]&lt;&gt;"")/(ISNA(MATCH(Table54[Name],$J$3:J30,0))),1)),"")</f>
        <v/>
      </c>
      <c r="K31" s="44">
        <f t="shared" si="5"/>
        <v>0</v>
      </c>
      <c r="L31" s="44">
        <f t="shared" si="5"/>
        <v>0</v>
      </c>
      <c r="M31" s="44">
        <f t="shared" si="5"/>
        <v>0</v>
      </c>
      <c r="N31" s="44">
        <f t="shared" si="5"/>
        <v>0</v>
      </c>
      <c r="P31" s="49" t="str">
        <f>IF(MONEEInfo[[#This Row],[FN]]=0,"",CONCATENATE(MONEEInfo[[#This Row],[FN]]," ",MONEEInfo[[#This Row],[LN]]))</f>
        <v/>
      </c>
      <c r="Q31" s="49"/>
      <c r="R31" s="49"/>
      <c r="S31" s="49"/>
      <c r="U31" s="53" t="str">
        <f>IFERROR(INDEX(MONEEInfo[Name],_xlfn.AGGREGATE(15,6,(ROW(MONEEInfo[Name])-MIN(ROW(MONEEInfo[Name]))+1)/(MONEEInfo[Name]&lt;&gt;"")/(ISNA(MATCH(MONEEInfo[Name],$U$3:U30,0))),1)),"")</f>
        <v/>
      </c>
      <c r="V31" s="44">
        <f t="shared" si="6"/>
        <v>0</v>
      </c>
      <c r="W31" s="44">
        <f t="shared" si="6"/>
        <v>0</v>
      </c>
      <c r="X31" s="44">
        <f t="shared" si="6"/>
        <v>0</v>
      </c>
      <c r="Y31" s="44">
        <f t="shared" si="6"/>
        <v>0</v>
      </c>
      <c r="AA31" s="49" t="str">
        <f>IF(ESDEEInfo[[#This Row],[FN]]=0,"",CONCATENATE(ESDEEInfo[[#This Row],[FN]]," ",ESDEEInfo[[#This Row],[LN]]))</f>
        <v/>
      </c>
      <c r="AB31" s="49"/>
      <c r="AC31" s="49"/>
      <c r="AD31" s="49"/>
      <c r="AF31" s="53" t="str">
        <f>IFERROR(INDEX(ESDEEInfo[Name],_xlfn.AGGREGATE(15,6,(ROW(ESDEEInfo[Name])-MIN(ROW(ESDEEInfo[Name]))+1)/(ESDEEInfo[Name]&lt;&gt;"")/(ISNA(MATCH(ESDEEInfo[Name],$AF$3:AF30,0))),1)),"")</f>
        <v/>
      </c>
      <c r="AG31" s="44">
        <f t="shared" si="7"/>
        <v>0</v>
      </c>
      <c r="AH31" s="44">
        <f t="shared" si="7"/>
        <v>0</v>
      </c>
      <c r="AI31" s="44">
        <f t="shared" si="7"/>
        <v>0</v>
      </c>
      <c r="AJ31" s="44">
        <f t="shared" si="7"/>
        <v>0</v>
      </c>
      <c r="AL31" s="49" t="str">
        <f>IF(DAYEEInfo[[#This Row],[FN]]=0,"",CONCATENATE(DAYEEInfo[[#This Row],[FN]]," ",DAYEEInfo[[#This Row],[LN]]))</f>
        <v xml:space="preserve"> </v>
      </c>
      <c r="AM31" s="49" t="s">
        <v>114</v>
      </c>
      <c r="AN31" s="49" t="s">
        <v>114</v>
      </c>
      <c r="AO31" s="49" t="s">
        <v>114</v>
      </c>
      <c r="AQ31" s="53" t="str">
        <f t="array" ref="AQ31">IFERROR(INDEX(DAYEEInfo[Name],_xlfn.AGGREGATE(15,6,(ROW(DAYEEInfo[Name])-MIN(ROW(DAYEEInfo[Name]))+1)/(DAYEEInfo[Name]&lt;&gt;"")/(ISNA(MATCH(DAYEEInfo[Name],$AQ$3:AQ30,0))),1)),"")</f>
        <v/>
      </c>
      <c r="AR31" s="44" t="str">
        <f t="shared" si="8"/>
        <v/>
      </c>
      <c r="AS31" s="44" t="str">
        <f t="shared" si="8"/>
        <v/>
      </c>
      <c r="AT31" s="44" t="str">
        <f t="shared" si="8"/>
        <v/>
      </c>
      <c r="AU31" s="44" t="str">
        <f t="shared" si="8"/>
        <v/>
      </c>
      <c r="AV31" s="102" t="str">
        <f t="shared" si="8"/>
        <v/>
      </c>
      <c r="AW31" s="102" t="str">
        <f t="shared" si="8"/>
        <v/>
      </c>
      <c r="AX31" s="102" t="str">
        <f t="shared" si="8"/>
        <v/>
      </c>
    </row>
    <row r="32" spans="1:50" ht="12.75" customHeight="1" x14ac:dyDescent="0.25">
      <c r="A32" s="6"/>
      <c r="B32" s="1" t="str">
        <f t="array" ref="B32">IFERROR(IF($B$3=Worksheet!$K$3,INDEX(Table43[EE Name],MATCH(0,COUNTIF($B$13:B31,Table43[EE Name]),0)),IF($B$3=Worksheet!$K$4,INDEX(Table4312[EE Name],MATCH(0,COUNTIF($B$13:B31,Table4312[EE Name]),0)),IF($B$3=Worksheet!$K$2,INDEX(ESDPosition[EE Name],MATCH(0,COUNTIF($B$13:B31,ESDPosition[EE Name]),0)),IF($B$3=Worksheet!$K$5,INDEX(DAYPosition[EE Name],MATCH(0,COUNTIF($B$13:B31,DAYPosition[EE Name]),0)),"")))),"")</f>
        <v/>
      </c>
      <c r="C32" s="1"/>
      <c r="D32" s="64"/>
      <c r="E32" s="49"/>
      <c r="F32" s="90"/>
      <c r="G32" s="90"/>
      <c r="H32" s="90"/>
      <c r="J32" s="53" t="str">
        <f>IFERROR(INDEX(Table54[Name],_xlfn.AGGREGATE(15,6,(ROW(Table54[Name])-MIN(ROW(Table54[Name]))+1)/(Table54[Name]&lt;&gt;"")/(ISNA(MATCH(Table54[Name],$J$3:J31,0))),1)),"")</f>
        <v/>
      </c>
      <c r="K32" s="44">
        <f t="shared" si="5"/>
        <v>0</v>
      </c>
      <c r="L32" s="44">
        <f t="shared" si="5"/>
        <v>0</v>
      </c>
      <c r="M32" s="44">
        <f t="shared" si="5"/>
        <v>0</v>
      </c>
      <c r="N32" s="44">
        <f t="shared" si="5"/>
        <v>0</v>
      </c>
      <c r="P32" s="49" t="str">
        <f>IF(MONEEInfo[[#This Row],[FN]]=0,"",CONCATENATE(MONEEInfo[[#This Row],[FN]]," ",MONEEInfo[[#This Row],[LN]]))</f>
        <v/>
      </c>
      <c r="Q32" s="49"/>
      <c r="R32" s="49"/>
      <c r="S32" s="49"/>
      <c r="U32" s="53" t="str">
        <f>IFERROR(INDEX(MONEEInfo[Name],_xlfn.AGGREGATE(15,6,(ROW(MONEEInfo[Name])-MIN(ROW(MONEEInfo[Name]))+1)/(MONEEInfo[Name]&lt;&gt;"")/(ISNA(MATCH(MONEEInfo[Name],$U$3:U31,0))),1)),"")</f>
        <v/>
      </c>
      <c r="V32" s="44">
        <f t="shared" si="6"/>
        <v>0</v>
      </c>
      <c r="W32" s="44">
        <f t="shared" si="6"/>
        <v>0</v>
      </c>
      <c r="X32" s="44">
        <f t="shared" si="6"/>
        <v>0</v>
      </c>
      <c r="Y32" s="44">
        <f t="shared" si="6"/>
        <v>0</v>
      </c>
      <c r="AA32" s="49" t="str">
        <f>IF(ESDEEInfo[[#This Row],[FN]]=0,"",CONCATENATE(ESDEEInfo[[#This Row],[FN]]," ",ESDEEInfo[[#This Row],[LN]]))</f>
        <v/>
      </c>
      <c r="AB32" s="49"/>
      <c r="AC32" s="49"/>
      <c r="AD32" s="49"/>
      <c r="AF32" s="53" t="str">
        <f>IFERROR(INDEX(ESDEEInfo[Name],_xlfn.AGGREGATE(15,6,(ROW(ESDEEInfo[Name])-MIN(ROW(ESDEEInfo[Name]))+1)/(ESDEEInfo[Name]&lt;&gt;"")/(ISNA(MATCH(ESDEEInfo[Name],$AF$3:AF31,0))),1)),"")</f>
        <v/>
      </c>
      <c r="AG32" s="44">
        <f t="shared" si="7"/>
        <v>0</v>
      </c>
      <c r="AH32" s="44">
        <f t="shared" si="7"/>
        <v>0</v>
      </c>
      <c r="AI32" s="44">
        <f t="shared" si="7"/>
        <v>0</v>
      </c>
      <c r="AJ32" s="44">
        <f t="shared" si="7"/>
        <v>0</v>
      </c>
      <c r="AL32" s="49" t="str">
        <f>IF(DAYEEInfo[[#This Row],[FN]]=0,"",CONCATENATE(DAYEEInfo[[#This Row],[FN]]," ",DAYEEInfo[[#This Row],[LN]]))</f>
        <v xml:space="preserve"> </v>
      </c>
      <c r="AM32" s="49" t="s">
        <v>114</v>
      </c>
      <c r="AN32" s="49" t="s">
        <v>114</v>
      </c>
      <c r="AO32" s="49" t="s">
        <v>114</v>
      </c>
      <c r="AQ32" s="53" t="str">
        <f t="array" ref="AQ32">IFERROR(INDEX(DAYEEInfo[Name],_xlfn.AGGREGATE(15,6,(ROW(DAYEEInfo[Name])-MIN(ROW(DAYEEInfo[Name]))+1)/(DAYEEInfo[Name]&lt;&gt;"")/(ISNA(MATCH(DAYEEInfo[Name],$AQ$3:AQ31,0))),1)),"")</f>
        <v/>
      </c>
      <c r="AR32" s="44" t="str">
        <f t="shared" si="8"/>
        <v/>
      </c>
      <c r="AS32" s="44" t="str">
        <f t="shared" si="8"/>
        <v/>
      </c>
      <c r="AT32" s="44" t="str">
        <f t="shared" si="8"/>
        <v/>
      </c>
      <c r="AU32" s="44" t="str">
        <f t="shared" si="8"/>
        <v/>
      </c>
      <c r="AV32" s="102" t="str">
        <f t="shared" si="8"/>
        <v/>
      </c>
      <c r="AW32" s="102" t="str">
        <f t="shared" si="8"/>
        <v/>
      </c>
      <c r="AX32" s="102" t="str">
        <f t="shared" si="8"/>
        <v/>
      </c>
    </row>
    <row r="33" spans="1:50" ht="12.75" customHeight="1" x14ac:dyDescent="0.25">
      <c r="A33" s="6"/>
      <c r="B33" s="1" t="str">
        <f t="array" ref="B33">IFERROR(IF($B$3=Worksheet!$K$3,INDEX(Table43[EE Name],MATCH(0,COUNTIF($B$13:B32,Table43[EE Name]),0)),IF($B$3=Worksheet!$K$4,INDEX(Table4312[EE Name],MATCH(0,COUNTIF($B$13:B32,Table4312[EE Name]),0)),IF($B$3=Worksheet!$K$2,INDEX(ESDPosition[EE Name],MATCH(0,COUNTIF($B$13:B32,ESDPosition[EE Name]),0)),IF($B$3=Worksheet!$K$5,INDEX(DAYPosition[EE Name],MATCH(0,COUNTIF($B$13:B32,DAYPosition[EE Name]),0)),"")))),"")</f>
        <v/>
      </c>
      <c r="C33" s="1"/>
      <c r="D33" s="64"/>
      <c r="E33" s="49"/>
      <c r="F33" s="90"/>
      <c r="G33" s="90"/>
      <c r="H33" s="90"/>
      <c r="J33" s="53" t="str">
        <f>IFERROR(INDEX(Table54[Name],_xlfn.AGGREGATE(15,6,(ROW(Table54[Name])-MIN(ROW(Table54[Name]))+1)/(Table54[Name]&lt;&gt;"")/(ISNA(MATCH(Table54[Name],$J$3:J32,0))),1)),"")</f>
        <v/>
      </c>
      <c r="K33" s="44">
        <f t="shared" si="5"/>
        <v>0</v>
      </c>
      <c r="L33" s="44">
        <f t="shared" si="5"/>
        <v>0</v>
      </c>
      <c r="M33" s="44">
        <f t="shared" si="5"/>
        <v>0</v>
      </c>
      <c r="N33" s="44">
        <f t="shared" si="5"/>
        <v>0</v>
      </c>
      <c r="P33" s="49" t="str">
        <f>IF(MONEEInfo[[#This Row],[FN]]=0,"",CONCATENATE(MONEEInfo[[#This Row],[FN]]," ",MONEEInfo[[#This Row],[LN]]))</f>
        <v/>
      </c>
      <c r="Q33" s="49"/>
      <c r="R33" s="49"/>
      <c r="S33" s="49"/>
      <c r="U33" s="53" t="str">
        <f>IFERROR(INDEX(MONEEInfo[Name],_xlfn.AGGREGATE(15,6,(ROW(MONEEInfo[Name])-MIN(ROW(MONEEInfo[Name]))+1)/(MONEEInfo[Name]&lt;&gt;"")/(ISNA(MATCH(MONEEInfo[Name],$U$3:U32,0))),1)),"")</f>
        <v/>
      </c>
      <c r="V33" s="44">
        <f t="shared" si="6"/>
        <v>0</v>
      </c>
      <c r="W33" s="44">
        <f t="shared" si="6"/>
        <v>0</v>
      </c>
      <c r="X33" s="44">
        <f t="shared" si="6"/>
        <v>0</v>
      </c>
      <c r="Y33" s="44">
        <f t="shared" si="6"/>
        <v>0</v>
      </c>
      <c r="AA33" s="49" t="str">
        <f>IF(ESDEEInfo[[#This Row],[FN]]=0,"",CONCATENATE(ESDEEInfo[[#This Row],[FN]]," ",ESDEEInfo[[#This Row],[LN]]))</f>
        <v/>
      </c>
      <c r="AB33" s="49"/>
      <c r="AC33" s="49"/>
      <c r="AD33" s="49"/>
      <c r="AF33" s="53" t="str">
        <f>IFERROR(INDEX(ESDEEInfo[Name],_xlfn.AGGREGATE(15,6,(ROW(ESDEEInfo[Name])-MIN(ROW(ESDEEInfo[Name]))+1)/(ESDEEInfo[Name]&lt;&gt;"")/(ISNA(MATCH(ESDEEInfo[Name],$AF$3:AF32,0))),1)),"")</f>
        <v/>
      </c>
      <c r="AG33" s="44">
        <f t="shared" si="7"/>
        <v>0</v>
      </c>
      <c r="AH33" s="44">
        <f t="shared" si="7"/>
        <v>0</v>
      </c>
      <c r="AI33" s="44">
        <f t="shared" si="7"/>
        <v>0</v>
      </c>
      <c r="AJ33" s="44">
        <f t="shared" si="7"/>
        <v>0</v>
      </c>
      <c r="AL33" s="49" t="str">
        <f>IF(DAYEEInfo[[#This Row],[FN]]=0,"",CONCATENATE(DAYEEInfo[[#This Row],[FN]]," ",DAYEEInfo[[#This Row],[LN]]))</f>
        <v xml:space="preserve"> </v>
      </c>
      <c r="AM33" s="49" t="s">
        <v>114</v>
      </c>
      <c r="AN33" s="49" t="s">
        <v>114</v>
      </c>
      <c r="AO33" s="49" t="s">
        <v>114</v>
      </c>
      <c r="AQ33" s="53" t="str">
        <f t="array" ref="AQ33">IFERROR(INDEX(DAYEEInfo[Name],_xlfn.AGGREGATE(15,6,(ROW(DAYEEInfo[Name])-MIN(ROW(DAYEEInfo[Name]))+1)/(DAYEEInfo[Name]&lt;&gt;"")/(ISNA(MATCH(DAYEEInfo[Name],$AQ$3:AQ32,0))),1)),"")</f>
        <v/>
      </c>
      <c r="AR33" s="44" t="str">
        <f t="shared" si="8"/>
        <v/>
      </c>
      <c r="AS33" s="44" t="str">
        <f t="shared" si="8"/>
        <v/>
      </c>
      <c r="AT33" s="44" t="str">
        <f t="shared" si="8"/>
        <v/>
      </c>
      <c r="AU33" s="44" t="str">
        <f t="shared" si="8"/>
        <v/>
      </c>
      <c r="AV33" s="102" t="str">
        <f t="shared" si="8"/>
        <v/>
      </c>
      <c r="AW33" s="102" t="str">
        <f t="shared" si="8"/>
        <v/>
      </c>
      <c r="AX33" s="102" t="str">
        <f t="shared" si="8"/>
        <v/>
      </c>
    </row>
    <row r="34" spans="1:50" ht="12.75" customHeight="1" x14ac:dyDescent="0.25">
      <c r="A34" s="6"/>
      <c r="B34" s="1" t="str">
        <f t="array" ref="B34">IFERROR(IF($B$3=Worksheet!$K$3,INDEX(Table43[EE Name],MATCH(0,COUNTIF($B$13:B33,Table43[EE Name]),0)),IF($B$3=Worksheet!$K$4,INDEX(Table4312[EE Name],MATCH(0,COUNTIF($B$13:B33,Table4312[EE Name]),0)),IF($B$3=Worksheet!$K$2,INDEX(ESDPosition[EE Name],MATCH(0,COUNTIF($B$13:B33,ESDPosition[EE Name]),0)),IF($B$3=Worksheet!$K$5,INDEX(DAYPosition[EE Name],MATCH(0,COUNTIF($B$13:B33,DAYPosition[EE Name]),0)),"")))),"")</f>
        <v/>
      </c>
      <c r="C34" s="1"/>
      <c r="D34" s="64">
        <f>IF(Table54[[#This Row],[Name]]=Table54[[#This Row],[Name]],COUNTIF($E$4:E34,Table54[[#This Row],[Name]]),"")</f>
        <v>31</v>
      </c>
      <c r="E34" s="49" t="str">
        <f>IF(Table54[[#This Row],[FN]]=0,"",CONCATENATE(Table54[[#This Row],[FN]]," ",Table54[[#This Row],[LN]]))</f>
        <v/>
      </c>
      <c r="F34" s="90"/>
      <c r="G34" s="90"/>
      <c r="H34" s="90"/>
      <c r="J34" s="53" t="str">
        <f>IFERROR(INDEX(Table54[Name],_xlfn.AGGREGATE(15,6,(ROW(Table54[Name])-MIN(ROW(Table54[Name]))+1)/(Table54[Name]&lt;&gt;"")/(ISNA(MATCH(Table54[Name],$J$3:J33,0))),1)),"")</f>
        <v/>
      </c>
      <c r="K34" s="44">
        <f t="shared" si="5"/>
        <v>0</v>
      </c>
      <c r="L34" s="44">
        <f t="shared" si="5"/>
        <v>0</v>
      </c>
      <c r="M34" s="44">
        <f t="shared" si="5"/>
        <v>0</v>
      </c>
      <c r="N34" s="44">
        <f t="shared" si="5"/>
        <v>0</v>
      </c>
      <c r="P34" s="49" t="str">
        <f>IF(MONEEInfo[[#This Row],[FN]]=0,"",CONCATENATE(MONEEInfo[[#This Row],[FN]]," ",MONEEInfo[[#This Row],[LN]]))</f>
        <v/>
      </c>
      <c r="Q34" s="49"/>
      <c r="R34" s="49"/>
      <c r="S34" s="49"/>
      <c r="U34" s="53" t="str">
        <f>IFERROR(INDEX(MONEEInfo[Name],_xlfn.AGGREGATE(15,6,(ROW(MONEEInfo[Name])-MIN(ROW(MONEEInfo[Name]))+1)/(MONEEInfo[Name]&lt;&gt;"")/(ISNA(MATCH(MONEEInfo[Name],$U$3:U33,0))),1)),"")</f>
        <v/>
      </c>
      <c r="V34" s="44">
        <f t="shared" si="6"/>
        <v>0</v>
      </c>
      <c r="W34" s="44">
        <f t="shared" si="6"/>
        <v>0</v>
      </c>
      <c r="X34" s="44">
        <f t="shared" si="6"/>
        <v>0</v>
      </c>
      <c r="Y34" s="44">
        <f t="shared" si="6"/>
        <v>0</v>
      </c>
      <c r="AA34" s="49" t="str">
        <f>IF(ESDEEInfo[[#This Row],[FN]]=0,"",CONCATENATE(ESDEEInfo[[#This Row],[FN]]," ",ESDEEInfo[[#This Row],[LN]]))</f>
        <v/>
      </c>
      <c r="AB34" s="49"/>
      <c r="AC34" s="49"/>
      <c r="AD34" s="49"/>
      <c r="AF34" s="53" t="str">
        <f>IFERROR(INDEX(ESDEEInfo[Name],_xlfn.AGGREGATE(15,6,(ROW(ESDEEInfo[Name])-MIN(ROW(ESDEEInfo[Name]))+1)/(ESDEEInfo[Name]&lt;&gt;"")/(ISNA(MATCH(ESDEEInfo[Name],$AF$3:AF33,0))),1)),"")</f>
        <v/>
      </c>
      <c r="AG34" s="44">
        <f t="shared" si="7"/>
        <v>0</v>
      </c>
      <c r="AH34" s="44">
        <f t="shared" si="7"/>
        <v>0</v>
      </c>
      <c r="AI34" s="44">
        <f t="shared" si="7"/>
        <v>0</v>
      </c>
      <c r="AJ34" s="44">
        <f t="shared" si="7"/>
        <v>0</v>
      </c>
      <c r="AL34" s="49" t="str">
        <f>IF(DAYEEInfo[[#This Row],[FN]]=0,"",CONCATENATE(DAYEEInfo[[#This Row],[FN]]," ",DAYEEInfo[[#This Row],[LN]]))</f>
        <v xml:space="preserve"> </v>
      </c>
      <c r="AM34" s="49" t="s">
        <v>114</v>
      </c>
      <c r="AN34" s="49" t="s">
        <v>114</v>
      </c>
      <c r="AO34" s="49" t="s">
        <v>114</v>
      </c>
      <c r="AQ34" s="53" t="str">
        <f t="array" ref="AQ34">IFERROR(INDEX(DAYEEInfo[Name],_xlfn.AGGREGATE(15,6,(ROW(DAYEEInfo[Name])-MIN(ROW(DAYEEInfo[Name]))+1)/(DAYEEInfo[Name]&lt;&gt;"")/(ISNA(MATCH(DAYEEInfo[Name],$AQ$3:AQ33,0))),1)),"")</f>
        <v/>
      </c>
      <c r="AR34" s="44" t="str">
        <f t="shared" si="8"/>
        <v/>
      </c>
      <c r="AS34" s="44" t="str">
        <f t="shared" si="8"/>
        <v/>
      </c>
      <c r="AT34" s="44" t="str">
        <f t="shared" si="8"/>
        <v/>
      </c>
      <c r="AU34" s="44" t="str">
        <f t="shared" si="8"/>
        <v/>
      </c>
      <c r="AV34" s="102" t="str">
        <f t="shared" si="8"/>
        <v/>
      </c>
      <c r="AW34" s="102" t="str">
        <f t="shared" si="8"/>
        <v/>
      </c>
      <c r="AX34" s="102" t="str">
        <f t="shared" si="8"/>
        <v/>
      </c>
    </row>
    <row r="35" spans="1:50" ht="12.75" customHeight="1" x14ac:dyDescent="0.25">
      <c r="A35" s="6"/>
      <c r="B35" s="1" t="str">
        <f t="array" ref="B35">IFERROR(IF($B$3=Worksheet!$K$3,INDEX(Table43[EE Name],MATCH(0,COUNTIF($B$13:B34,Table43[EE Name]),0)),IF($B$3=Worksheet!$K$4,INDEX(Table4312[EE Name],MATCH(0,COUNTIF($B$13:B34,Table4312[EE Name]),0)),IF($B$3=Worksheet!$K$2,INDEX(ESDPosition[EE Name],MATCH(0,COUNTIF($B$13:B34,ESDPosition[EE Name]),0)),IF($B$3=Worksheet!$K$5,INDEX(DAYPosition[EE Name],MATCH(0,COUNTIF($B$13:B34,DAYPosition[EE Name]),0)),"")))),"")</f>
        <v/>
      </c>
      <c r="C35" s="1"/>
      <c r="D35" s="64">
        <f>IF(Table54[[#This Row],[Name]]=Table54[[#This Row],[Name]],COUNTIF($E$4:E35,Table54[[#This Row],[Name]]),"")</f>
        <v>32</v>
      </c>
      <c r="E35" s="49" t="str">
        <f>IF(Table54[[#This Row],[FN]]=0,"",CONCATENATE(Table54[[#This Row],[FN]]," ",Table54[[#This Row],[LN]]))</f>
        <v/>
      </c>
      <c r="F35" s="90"/>
      <c r="G35" s="90"/>
      <c r="H35" s="90"/>
      <c r="J35" s="53" t="str">
        <f>IFERROR(INDEX(Table54[Name],_xlfn.AGGREGATE(15,6,(ROW(Table54[Name])-MIN(ROW(Table54[Name]))+1)/(Table54[Name]&lt;&gt;"")/(ISNA(MATCH(Table54[Name],$J$3:J34,0))),1)),"")</f>
        <v/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P35" s="49" t="str">
        <f>IF(MONEEInfo[[#This Row],[FN]]=0,"",CONCATENATE(MONEEInfo[[#This Row],[FN]]," ",MONEEInfo[[#This Row],[LN]]))</f>
        <v/>
      </c>
      <c r="Q35" s="49"/>
      <c r="R35" s="49"/>
      <c r="S35" s="49"/>
      <c r="U35" s="53" t="str">
        <f>IFERROR(INDEX(MONEEInfo[Name],_xlfn.AGGREGATE(15,6,(ROW(MONEEInfo[Name])-MIN(ROW(MONEEInfo[Name]))+1)/(MONEEInfo[Name]&lt;&gt;"")/(ISNA(MATCH(MONEEInfo[Name],$U$3:U34,0))),1)),"")</f>
        <v/>
      </c>
      <c r="V35" s="44">
        <f t="shared" si="6"/>
        <v>0</v>
      </c>
      <c r="W35" s="44">
        <f t="shared" si="6"/>
        <v>0</v>
      </c>
      <c r="X35" s="44">
        <f t="shared" si="6"/>
        <v>0</v>
      </c>
      <c r="Y35" s="44">
        <f t="shared" si="6"/>
        <v>0</v>
      </c>
      <c r="AA35" s="49" t="str">
        <f>IF(ESDEEInfo[[#This Row],[FN]]=0,"",CONCATENATE(ESDEEInfo[[#This Row],[FN]]," ",ESDEEInfo[[#This Row],[LN]]))</f>
        <v/>
      </c>
      <c r="AB35" s="49"/>
      <c r="AC35" s="49"/>
      <c r="AD35" s="49"/>
      <c r="AF35" s="53" t="str">
        <f>IFERROR(INDEX(ESDEEInfo[Name],_xlfn.AGGREGATE(15,6,(ROW(ESDEEInfo[Name])-MIN(ROW(ESDEEInfo[Name]))+1)/(ESDEEInfo[Name]&lt;&gt;"")/(ISNA(MATCH(ESDEEInfo[Name],$AF$3:AF34,0))),1)),"")</f>
        <v/>
      </c>
      <c r="AG35" s="44">
        <f t="shared" si="7"/>
        <v>0</v>
      </c>
      <c r="AH35" s="44">
        <f t="shared" si="7"/>
        <v>0</v>
      </c>
      <c r="AI35" s="44">
        <f t="shared" si="7"/>
        <v>0</v>
      </c>
      <c r="AJ35" s="44">
        <f t="shared" si="7"/>
        <v>0</v>
      </c>
      <c r="AL35" s="49" t="str">
        <f>IF(DAYEEInfo[[#This Row],[FN]]=0,"",CONCATENATE(DAYEEInfo[[#This Row],[FN]]," ",DAYEEInfo[[#This Row],[LN]]))</f>
        <v xml:space="preserve"> </v>
      </c>
      <c r="AM35" s="49" t="s">
        <v>114</v>
      </c>
      <c r="AN35" s="49" t="s">
        <v>114</v>
      </c>
      <c r="AO35" s="49" t="s">
        <v>114</v>
      </c>
      <c r="AQ35" s="53" t="str">
        <f t="array" ref="AQ35">IFERROR(INDEX(DAYEEInfo[Name],_xlfn.AGGREGATE(15,6,(ROW(DAYEEInfo[Name])-MIN(ROW(DAYEEInfo[Name]))+1)/(DAYEEInfo[Name]&lt;&gt;"")/(ISNA(MATCH(DAYEEInfo[Name],$AQ$3:AQ34,0))),1)),"")</f>
        <v/>
      </c>
      <c r="AR35" s="44" t="str">
        <f t="shared" si="8"/>
        <v/>
      </c>
      <c r="AS35" s="44" t="str">
        <f t="shared" si="8"/>
        <v/>
      </c>
      <c r="AT35" s="44" t="str">
        <f t="shared" si="8"/>
        <v/>
      </c>
      <c r="AU35" s="44" t="str">
        <f t="shared" si="8"/>
        <v/>
      </c>
      <c r="AV35" s="102" t="str">
        <f t="shared" si="8"/>
        <v/>
      </c>
      <c r="AW35" s="102" t="str">
        <f t="shared" si="8"/>
        <v/>
      </c>
      <c r="AX35" s="102" t="str">
        <f t="shared" si="8"/>
        <v/>
      </c>
    </row>
    <row r="36" spans="1:50" ht="12.75" customHeight="1" x14ac:dyDescent="0.25">
      <c r="A36" s="6"/>
      <c r="B36" s="1" t="str">
        <f t="array" ref="B36">IFERROR(IF($B$3=Worksheet!$K$3,INDEX(Table43[EE Name],MATCH(0,COUNTIF($B$13:B35,Table43[EE Name]),0)),IF($B$3=Worksheet!$K$4,INDEX(Table4312[EE Name],MATCH(0,COUNTIF($B$13:B35,Table4312[EE Name]),0)),IF($B$3=Worksheet!$K$2,INDEX(ESDPosition[EE Name],MATCH(0,COUNTIF($B$13:B35,ESDPosition[EE Name]),0)),IF($B$3=Worksheet!$K$5,INDEX(DAYPosition[EE Name],MATCH(0,COUNTIF($B$13:B35,DAYPosition[EE Name]),0)),"")))),"")</f>
        <v/>
      </c>
      <c r="C36" s="1"/>
      <c r="D36" s="64">
        <f>IF(Table54[[#This Row],[Name]]=Table54[[#This Row],[Name]],COUNTIF($E$4:E36,Table54[[#This Row],[Name]]),"")</f>
        <v>33</v>
      </c>
      <c r="E36" s="49" t="str">
        <f>IF(Table54[[#This Row],[FN]]=0,"",CONCATENATE(Table54[[#This Row],[FN]]," ",Table54[[#This Row],[LN]]))</f>
        <v/>
      </c>
      <c r="F36" s="90"/>
      <c r="G36" s="90"/>
      <c r="H36" s="90"/>
      <c r="J36" s="53" t="str">
        <f>IFERROR(INDEX(Table54[Name],_xlfn.AGGREGATE(15,6,(ROW(Table54[Name])-MIN(ROW(Table54[Name]))+1)/(Table54[Name]&lt;&gt;"")/(ISNA(MATCH(Table54[Name],$J$3:J35,0))),1)),"")</f>
        <v/>
      </c>
      <c r="K36" s="44">
        <f t="shared" si="5"/>
        <v>0</v>
      </c>
      <c r="L36" s="44">
        <f t="shared" si="5"/>
        <v>0</v>
      </c>
      <c r="M36" s="44">
        <f t="shared" si="5"/>
        <v>0</v>
      </c>
      <c r="N36" s="44">
        <f t="shared" si="5"/>
        <v>0</v>
      </c>
      <c r="P36" s="49" t="str">
        <f>IF(MONEEInfo[[#This Row],[FN]]=0,"",CONCATENATE(MONEEInfo[[#This Row],[FN]]," ",MONEEInfo[[#This Row],[LN]]))</f>
        <v/>
      </c>
      <c r="Q36" s="49"/>
      <c r="R36" s="49"/>
      <c r="S36" s="49"/>
      <c r="U36" s="53" t="str">
        <f>IFERROR(INDEX(MONEEInfo[Name],_xlfn.AGGREGATE(15,6,(ROW(MONEEInfo[Name])-MIN(ROW(MONEEInfo[Name]))+1)/(MONEEInfo[Name]&lt;&gt;"")/(ISNA(MATCH(MONEEInfo[Name],$U$3:U35,0))),1)),"")</f>
        <v/>
      </c>
      <c r="V36" s="44">
        <f t="shared" si="6"/>
        <v>0</v>
      </c>
      <c r="W36" s="44">
        <f t="shared" si="6"/>
        <v>0</v>
      </c>
      <c r="X36" s="44">
        <f t="shared" si="6"/>
        <v>0</v>
      </c>
      <c r="Y36" s="44">
        <f t="shared" si="6"/>
        <v>0</v>
      </c>
      <c r="AA36" s="49" t="str">
        <f>IF(ESDEEInfo[[#This Row],[FN]]=0,"",CONCATENATE(ESDEEInfo[[#This Row],[FN]]," ",ESDEEInfo[[#This Row],[LN]]))</f>
        <v/>
      </c>
      <c r="AB36" s="49"/>
      <c r="AC36" s="49"/>
      <c r="AD36" s="49"/>
      <c r="AF36" s="53" t="str">
        <f>IFERROR(INDEX(ESDEEInfo[Name],_xlfn.AGGREGATE(15,6,(ROW(ESDEEInfo[Name])-MIN(ROW(ESDEEInfo[Name]))+1)/(ESDEEInfo[Name]&lt;&gt;"")/(ISNA(MATCH(ESDEEInfo[Name],$AF$3:AF35,0))),1)),"")</f>
        <v/>
      </c>
      <c r="AG36" s="44">
        <f t="shared" si="7"/>
        <v>0</v>
      </c>
      <c r="AH36" s="44">
        <f t="shared" si="7"/>
        <v>0</v>
      </c>
      <c r="AI36" s="44">
        <f t="shared" si="7"/>
        <v>0</v>
      </c>
      <c r="AJ36" s="44">
        <f t="shared" si="7"/>
        <v>0</v>
      </c>
      <c r="AL36" s="49" t="str">
        <f>IF(DAYEEInfo[[#This Row],[FN]]=0,"",CONCATENATE(DAYEEInfo[[#This Row],[FN]]," ",DAYEEInfo[[#This Row],[LN]]))</f>
        <v xml:space="preserve"> </v>
      </c>
      <c r="AM36" s="49" t="s">
        <v>114</v>
      </c>
      <c r="AN36" s="49" t="s">
        <v>114</v>
      </c>
      <c r="AO36" s="49" t="s">
        <v>114</v>
      </c>
      <c r="AQ36" s="53" t="str">
        <f t="array" ref="AQ36">IFERROR(INDEX(DAYEEInfo[Name],_xlfn.AGGREGATE(15,6,(ROW(DAYEEInfo[Name])-MIN(ROW(DAYEEInfo[Name]))+1)/(DAYEEInfo[Name]&lt;&gt;"")/(ISNA(MATCH(DAYEEInfo[Name],$AQ$3:AQ35,0))),1)),"")</f>
        <v/>
      </c>
      <c r="AR36" s="44" t="str">
        <f t="shared" si="8"/>
        <v/>
      </c>
      <c r="AS36" s="44" t="str">
        <f t="shared" si="8"/>
        <v/>
      </c>
      <c r="AT36" s="44" t="str">
        <f t="shared" si="8"/>
        <v/>
      </c>
      <c r="AU36" s="44" t="str">
        <f t="shared" si="8"/>
        <v/>
      </c>
      <c r="AV36" s="102" t="str">
        <f t="shared" si="8"/>
        <v/>
      </c>
      <c r="AW36" s="102" t="str">
        <f t="shared" si="8"/>
        <v/>
      </c>
      <c r="AX36" s="102" t="str">
        <f t="shared" si="8"/>
        <v/>
      </c>
    </row>
    <row r="37" spans="1:50" ht="12.75" customHeight="1" x14ac:dyDescent="0.25">
      <c r="A37" s="6"/>
      <c r="B37" s="1" t="str">
        <f t="array" ref="B37">IFERROR(IF($B$3=Worksheet!$K$3,INDEX(Table43[EE Name],MATCH(0,COUNTIF($B$13:B36,Table43[EE Name]),0)),IF($B$3=Worksheet!$K$4,INDEX(Table4312[EE Name],MATCH(0,COUNTIF($B$13:B36,Table4312[EE Name]),0)),IF($B$3=Worksheet!$K$2,INDEX(ESDPosition[EE Name],MATCH(0,COUNTIF($B$13:B36,ESDPosition[EE Name]),0)),IF($B$3=Worksheet!$K$5,INDEX(DAYPosition[EE Name],MATCH(0,COUNTIF($B$13:B36,DAYPosition[EE Name]),0)),"")))),"")</f>
        <v/>
      </c>
      <c r="C37" s="1"/>
      <c r="D37" s="64">
        <f>IF(Table54[[#This Row],[Name]]=Table54[[#This Row],[Name]],COUNTIF($E$4:E37,Table54[[#This Row],[Name]]),"")</f>
        <v>34</v>
      </c>
      <c r="E37" s="49" t="str">
        <f>IF(Table54[[#This Row],[FN]]=0,"",CONCATENATE(Table54[[#This Row],[FN]]," ",Table54[[#This Row],[LN]]))</f>
        <v/>
      </c>
      <c r="F37" s="90"/>
      <c r="G37" s="90"/>
      <c r="H37" s="90"/>
      <c r="J37" s="53" t="str">
        <f>IFERROR(INDEX(Table54[Name],_xlfn.AGGREGATE(15,6,(ROW(Table54[Name])-MIN(ROW(Table54[Name]))+1)/(Table54[Name]&lt;&gt;"")/(ISNA(MATCH(Table54[Name],$J$3:J36,0))),1)),"")</f>
        <v/>
      </c>
      <c r="K37" s="44">
        <f t="shared" si="5"/>
        <v>0</v>
      </c>
      <c r="L37" s="44">
        <f t="shared" si="5"/>
        <v>0</v>
      </c>
      <c r="M37" s="44">
        <f t="shared" si="5"/>
        <v>0</v>
      </c>
      <c r="N37" s="44">
        <f t="shared" si="5"/>
        <v>0</v>
      </c>
      <c r="P37" s="49" t="str">
        <f>IF(MONEEInfo[[#This Row],[FN]]=0,"",CONCATENATE(MONEEInfo[[#This Row],[FN]]," ",MONEEInfo[[#This Row],[LN]]))</f>
        <v/>
      </c>
      <c r="Q37" s="49"/>
      <c r="R37" s="49"/>
      <c r="S37" s="49"/>
      <c r="U37" s="53" t="str">
        <f>IFERROR(INDEX(MONEEInfo[Name],_xlfn.AGGREGATE(15,6,(ROW(MONEEInfo[Name])-MIN(ROW(MONEEInfo[Name]))+1)/(MONEEInfo[Name]&lt;&gt;"")/(ISNA(MATCH(MONEEInfo[Name],$U$3:U36,0))),1)),"")</f>
        <v/>
      </c>
      <c r="V37" s="44">
        <f t="shared" si="6"/>
        <v>0</v>
      </c>
      <c r="W37" s="44">
        <f t="shared" si="6"/>
        <v>0</v>
      </c>
      <c r="X37" s="44">
        <f t="shared" si="6"/>
        <v>0</v>
      </c>
      <c r="Y37" s="44">
        <f t="shared" si="6"/>
        <v>0</v>
      </c>
      <c r="AA37" s="49" t="str">
        <f>IF(ESDEEInfo[[#This Row],[FN]]=0,"",CONCATENATE(ESDEEInfo[[#This Row],[FN]]," ",ESDEEInfo[[#This Row],[LN]]))</f>
        <v/>
      </c>
      <c r="AB37" s="49"/>
      <c r="AC37" s="49"/>
      <c r="AD37" s="49"/>
      <c r="AF37" s="53" t="str">
        <f>IFERROR(INDEX(ESDEEInfo[Name],_xlfn.AGGREGATE(15,6,(ROW(ESDEEInfo[Name])-MIN(ROW(ESDEEInfo[Name]))+1)/(ESDEEInfo[Name]&lt;&gt;"")/(ISNA(MATCH(ESDEEInfo[Name],$AF$3:AF36,0))),1)),"")</f>
        <v/>
      </c>
      <c r="AG37" s="44">
        <f t="shared" si="7"/>
        <v>0</v>
      </c>
      <c r="AH37" s="44">
        <f t="shared" si="7"/>
        <v>0</v>
      </c>
      <c r="AI37" s="44">
        <f t="shared" si="7"/>
        <v>0</v>
      </c>
      <c r="AJ37" s="44">
        <f t="shared" si="7"/>
        <v>0</v>
      </c>
      <c r="AL37" s="49" t="str">
        <f>IF(DAYEEInfo[[#This Row],[FN]]=0,"",CONCATENATE(DAYEEInfo[[#This Row],[FN]]," ",DAYEEInfo[[#This Row],[LN]]))</f>
        <v xml:space="preserve"> </v>
      </c>
      <c r="AM37" s="49" t="s">
        <v>114</v>
      </c>
      <c r="AN37" s="49" t="s">
        <v>114</v>
      </c>
      <c r="AO37" s="49" t="s">
        <v>114</v>
      </c>
      <c r="AQ37" s="53" t="str">
        <f t="array" ref="AQ37">IFERROR(INDEX(DAYEEInfo[Name],_xlfn.AGGREGATE(15,6,(ROW(DAYEEInfo[Name])-MIN(ROW(DAYEEInfo[Name]))+1)/(DAYEEInfo[Name]&lt;&gt;"")/(ISNA(MATCH(DAYEEInfo[Name],$AQ$3:AQ36,0))),1)),"")</f>
        <v/>
      </c>
      <c r="AR37" s="44" t="str">
        <f t="shared" si="8"/>
        <v/>
      </c>
      <c r="AS37" s="44" t="str">
        <f t="shared" si="8"/>
        <v/>
      </c>
      <c r="AT37" s="44" t="str">
        <f t="shared" si="8"/>
        <v/>
      </c>
      <c r="AU37" s="44" t="str">
        <f t="shared" si="8"/>
        <v/>
      </c>
      <c r="AV37" s="102" t="str">
        <f t="shared" si="8"/>
        <v/>
      </c>
      <c r="AW37" s="102" t="str">
        <f t="shared" si="8"/>
        <v/>
      </c>
      <c r="AX37" s="102" t="str">
        <f t="shared" si="8"/>
        <v/>
      </c>
    </row>
    <row r="38" spans="1:50" ht="12.75" customHeight="1" x14ac:dyDescent="0.25">
      <c r="A38" s="6"/>
      <c r="B38" s="1" t="str">
        <f t="array" ref="B38">IFERROR(IF($B$3=Worksheet!$K$3,INDEX(Table43[EE Name],MATCH(0,COUNTIF($B$13:B37,Table43[EE Name]),0)),IF($B$3=Worksheet!$K$4,INDEX(Table4312[EE Name],MATCH(0,COUNTIF($B$13:B37,Table4312[EE Name]),0)),IF($B$3=Worksheet!$K$2,INDEX(ESDPosition[EE Name],MATCH(0,COUNTIF($B$13:B37,ESDPosition[EE Name]),0)),IF($B$3=Worksheet!$K$5,INDEX(DAYPosition[EE Name],MATCH(0,COUNTIF($B$13:B37,DAYPosition[EE Name]),0)),"")))),"")</f>
        <v/>
      </c>
      <c r="C38" s="1"/>
      <c r="D38" s="64">
        <f>IF(Table54[[#This Row],[Name]]=Table54[[#This Row],[Name]],COUNTIF($E$4:E38,Table54[[#This Row],[Name]]),"")</f>
        <v>35</v>
      </c>
      <c r="E38" s="49" t="str">
        <f>IF(Table54[[#This Row],[FN]]=0,"",CONCATENATE(Table54[[#This Row],[FN]]," ",Table54[[#This Row],[LN]]))</f>
        <v/>
      </c>
      <c r="F38" s="90"/>
      <c r="G38" s="90"/>
      <c r="H38" s="90"/>
      <c r="J38" s="53" t="str">
        <f>IFERROR(INDEX(Table54[Name],_xlfn.AGGREGATE(15,6,(ROW(Table54[Name])-MIN(ROW(Table54[Name]))+1)/(Table54[Name]&lt;&gt;"")/(ISNA(MATCH(Table54[Name],$J$3:J37,0))),1)),"")</f>
        <v/>
      </c>
      <c r="K38" s="44">
        <f t="shared" si="5"/>
        <v>0</v>
      </c>
      <c r="L38" s="44">
        <f t="shared" si="5"/>
        <v>0</v>
      </c>
      <c r="M38" s="44">
        <f t="shared" si="5"/>
        <v>0</v>
      </c>
      <c r="N38" s="44">
        <f t="shared" si="5"/>
        <v>0</v>
      </c>
      <c r="P38" s="49" t="str">
        <f>IF(MONEEInfo[[#This Row],[FN]]=0,"",CONCATENATE(MONEEInfo[[#This Row],[FN]]," ",MONEEInfo[[#This Row],[LN]]))</f>
        <v/>
      </c>
      <c r="Q38" s="49"/>
      <c r="R38" s="49"/>
      <c r="S38" s="49"/>
      <c r="U38" s="53" t="str">
        <f>IFERROR(INDEX(MONEEInfo[Name],_xlfn.AGGREGATE(15,6,(ROW(MONEEInfo[Name])-MIN(ROW(MONEEInfo[Name]))+1)/(MONEEInfo[Name]&lt;&gt;"")/(ISNA(MATCH(MONEEInfo[Name],$U$3:U37,0))),1)),"")</f>
        <v/>
      </c>
      <c r="V38" s="44">
        <f t="shared" si="6"/>
        <v>0</v>
      </c>
      <c r="W38" s="44">
        <f t="shared" si="6"/>
        <v>0</v>
      </c>
      <c r="X38" s="44">
        <f t="shared" si="6"/>
        <v>0</v>
      </c>
      <c r="Y38" s="44">
        <f t="shared" si="6"/>
        <v>0</v>
      </c>
      <c r="AA38" s="49" t="str">
        <f>IF(ESDEEInfo[[#This Row],[FN]]=0,"",CONCATENATE(ESDEEInfo[[#This Row],[FN]]," ",ESDEEInfo[[#This Row],[LN]]))</f>
        <v/>
      </c>
      <c r="AB38" s="49"/>
      <c r="AC38" s="49"/>
      <c r="AD38" s="49"/>
      <c r="AF38" s="53" t="str">
        <f>IFERROR(INDEX(ESDEEInfo[Name],_xlfn.AGGREGATE(15,6,(ROW(ESDEEInfo[Name])-MIN(ROW(ESDEEInfo[Name]))+1)/(ESDEEInfo[Name]&lt;&gt;"")/(ISNA(MATCH(ESDEEInfo[Name],$AF$3:AF37,0))),1)),"")</f>
        <v/>
      </c>
      <c r="AG38" s="44">
        <f t="shared" si="7"/>
        <v>0</v>
      </c>
      <c r="AH38" s="44">
        <f t="shared" si="7"/>
        <v>0</v>
      </c>
      <c r="AI38" s="44">
        <f t="shared" si="7"/>
        <v>0</v>
      </c>
      <c r="AJ38" s="44">
        <f t="shared" si="7"/>
        <v>0</v>
      </c>
      <c r="AL38" s="49" t="str">
        <f>IF(DAYEEInfo[[#This Row],[FN]]=0,"",CONCATENATE(DAYEEInfo[[#This Row],[FN]]," ",DAYEEInfo[[#This Row],[LN]]))</f>
        <v xml:space="preserve"> </v>
      </c>
      <c r="AM38" s="49" t="s">
        <v>114</v>
      </c>
      <c r="AN38" s="49" t="s">
        <v>114</v>
      </c>
      <c r="AO38" s="49" t="s">
        <v>114</v>
      </c>
      <c r="AQ38" s="53" t="str">
        <f t="array" ref="AQ38">IFERROR(INDEX(DAYEEInfo[Name],_xlfn.AGGREGATE(15,6,(ROW(DAYEEInfo[Name])-MIN(ROW(DAYEEInfo[Name]))+1)/(DAYEEInfo[Name]&lt;&gt;"")/(ISNA(MATCH(DAYEEInfo[Name],$AQ$3:AQ37,0))),1)),"")</f>
        <v/>
      </c>
      <c r="AR38" s="44" t="str">
        <f t="shared" si="8"/>
        <v/>
      </c>
      <c r="AS38" s="44" t="str">
        <f t="shared" si="8"/>
        <v/>
      </c>
      <c r="AT38" s="44" t="str">
        <f t="shared" si="8"/>
        <v/>
      </c>
      <c r="AU38" s="44" t="str">
        <f t="shared" si="8"/>
        <v/>
      </c>
      <c r="AV38" s="102" t="str">
        <f t="shared" si="8"/>
        <v/>
      </c>
      <c r="AW38" s="102" t="str">
        <f t="shared" si="8"/>
        <v/>
      </c>
      <c r="AX38" s="102" t="str">
        <f t="shared" si="8"/>
        <v/>
      </c>
    </row>
    <row r="39" spans="1:50" ht="12.75" customHeight="1" x14ac:dyDescent="0.25">
      <c r="A39" s="6"/>
      <c r="B39" s="1" t="str">
        <f t="array" ref="B39">IFERROR(IF($B$3=Worksheet!$K$3,INDEX(Table43[EE Name],MATCH(0,COUNTIF($B$13:B38,Table43[EE Name]),0)),IF($B$3=Worksheet!$K$4,INDEX(Table4312[EE Name],MATCH(0,COUNTIF($B$13:B38,Table4312[EE Name]),0)),IF($B$3=Worksheet!$K$2,INDEX(ESDPosition[EE Name],MATCH(0,COUNTIF($B$13:B38,ESDPosition[EE Name]),0)),IF($B$3=Worksheet!$K$5,INDEX(DAYPosition[EE Name],MATCH(0,COUNTIF($B$13:B38,DAYPosition[EE Name]),0)),"")))),"")</f>
        <v/>
      </c>
      <c r="C39" s="1"/>
      <c r="D39" s="64">
        <f>IF(Table54[[#This Row],[Name]]=Table54[[#This Row],[Name]],COUNTIF($E$4:E39,Table54[[#This Row],[Name]]),"")</f>
        <v>36</v>
      </c>
      <c r="E39" s="49" t="str">
        <f>IF(Table54[[#This Row],[FN]]=0,"",CONCATENATE(Table54[[#This Row],[FN]]," ",Table54[[#This Row],[LN]]))</f>
        <v/>
      </c>
      <c r="F39" s="90"/>
      <c r="G39" s="90"/>
      <c r="H39" s="90"/>
      <c r="J39" s="53" t="str">
        <f>IFERROR(INDEX(Table54[Name],_xlfn.AGGREGATE(15,6,(ROW(Table54[Name])-MIN(ROW(Table54[Name]))+1)/(Table54[Name]&lt;&gt;"")/(ISNA(MATCH(Table54[Name],$J$3:J38,0))),1)),"")</f>
        <v/>
      </c>
      <c r="K39" s="44">
        <f t="shared" si="5"/>
        <v>0</v>
      </c>
      <c r="L39" s="44">
        <f t="shared" si="5"/>
        <v>0</v>
      </c>
      <c r="M39" s="44">
        <f t="shared" si="5"/>
        <v>0</v>
      </c>
      <c r="N39" s="44">
        <f t="shared" si="5"/>
        <v>0</v>
      </c>
      <c r="P39" s="49" t="str">
        <f>IF(MONEEInfo[[#This Row],[FN]]=0,"",CONCATENATE(MONEEInfo[[#This Row],[FN]]," ",MONEEInfo[[#This Row],[LN]]))</f>
        <v/>
      </c>
      <c r="Q39" s="49"/>
      <c r="R39" s="49"/>
      <c r="S39" s="49"/>
      <c r="U39" s="53" t="str">
        <f>IFERROR(INDEX(MONEEInfo[Name],_xlfn.AGGREGATE(15,6,(ROW(MONEEInfo[Name])-MIN(ROW(MONEEInfo[Name]))+1)/(MONEEInfo[Name]&lt;&gt;"")/(ISNA(MATCH(MONEEInfo[Name],$U$3:U38,0))),1)),"")</f>
        <v/>
      </c>
      <c r="V39" s="44">
        <f t="shared" si="6"/>
        <v>0</v>
      </c>
      <c r="W39" s="44">
        <f t="shared" si="6"/>
        <v>0</v>
      </c>
      <c r="X39" s="44">
        <f t="shared" si="6"/>
        <v>0</v>
      </c>
      <c r="Y39" s="44">
        <f t="shared" si="6"/>
        <v>0</v>
      </c>
      <c r="AA39" s="49" t="str">
        <f>IF(ESDEEInfo[[#This Row],[FN]]=0,"",CONCATENATE(ESDEEInfo[[#This Row],[FN]]," ",ESDEEInfo[[#This Row],[LN]]))</f>
        <v/>
      </c>
      <c r="AB39" s="49"/>
      <c r="AC39" s="49"/>
      <c r="AD39" s="49"/>
      <c r="AF39" s="53" t="str">
        <f>IFERROR(INDEX(ESDEEInfo[Name],_xlfn.AGGREGATE(15,6,(ROW(ESDEEInfo[Name])-MIN(ROW(ESDEEInfo[Name]))+1)/(ESDEEInfo[Name]&lt;&gt;"")/(ISNA(MATCH(ESDEEInfo[Name],$AF$3:AF38,0))),1)),"")</f>
        <v/>
      </c>
      <c r="AG39" s="44">
        <f t="shared" si="7"/>
        <v>0</v>
      </c>
      <c r="AH39" s="44">
        <f t="shared" si="7"/>
        <v>0</v>
      </c>
      <c r="AI39" s="44">
        <f t="shared" si="7"/>
        <v>0</v>
      </c>
      <c r="AJ39" s="44">
        <f t="shared" si="7"/>
        <v>0</v>
      </c>
      <c r="AL39" s="49" t="str">
        <f>IF(DAYEEInfo[[#This Row],[FN]]=0,"",CONCATENATE(DAYEEInfo[[#This Row],[FN]]," ",DAYEEInfo[[#This Row],[LN]]))</f>
        <v xml:space="preserve"> </v>
      </c>
      <c r="AM39" s="49" t="s">
        <v>114</v>
      </c>
      <c r="AN39" s="49" t="s">
        <v>114</v>
      </c>
      <c r="AO39" s="49" t="s">
        <v>114</v>
      </c>
      <c r="AQ39" s="53" t="str">
        <f t="array" ref="AQ39">IFERROR(INDEX(DAYEEInfo[Name],_xlfn.AGGREGATE(15,6,(ROW(DAYEEInfo[Name])-MIN(ROW(DAYEEInfo[Name]))+1)/(DAYEEInfo[Name]&lt;&gt;"")/(ISNA(MATCH(DAYEEInfo[Name],$AQ$3:AQ38,0))),1)),"")</f>
        <v/>
      </c>
      <c r="AR39" s="44" t="str">
        <f t="shared" si="8"/>
        <v/>
      </c>
      <c r="AS39" s="44" t="str">
        <f t="shared" si="8"/>
        <v/>
      </c>
      <c r="AT39" s="44" t="str">
        <f t="shared" si="8"/>
        <v/>
      </c>
      <c r="AU39" s="44" t="str">
        <f t="shared" si="8"/>
        <v/>
      </c>
      <c r="AV39" s="102" t="str">
        <f t="shared" si="8"/>
        <v/>
      </c>
      <c r="AW39" s="102" t="str">
        <f t="shared" si="8"/>
        <v/>
      </c>
      <c r="AX39" s="102" t="str">
        <f t="shared" si="8"/>
        <v/>
      </c>
    </row>
    <row r="40" spans="1:50" ht="12.75" customHeight="1" x14ac:dyDescent="0.25">
      <c r="A40" s="6"/>
      <c r="B40" s="1" t="str">
        <f t="array" ref="B40">IFERROR(IF($B$3=Worksheet!$K$3,INDEX(Table43[EE Name],MATCH(0,COUNTIF($B$13:B39,Table43[EE Name]),0)),IF($B$3=Worksheet!$K$4,INDEX(Table4312[EE Name],MATCH(0,COUNTIF($B$13:B39,Table4312[EE Name]),0)),IF($B$3=Worksheet!$K$2,INDEX(ESDPosition[EE Name],MATCH(0,COUNTIF($B$13:B39,ESDPosition[EE Name]),0)),IF($B$3=Worksheet!$K$5,INDEX(DAYPosition[EE Name],MATCH(0,COUNTIF($B$13:B39,DAYPosition[EE Name]),0)),"")))),"")</f>
        <v/>
      </c>
      <c r="C40" s="1"/>
      <c r="D40" s="64">
        <f>IF(Table54[[#This Row],[Name]]=Table54[[#This Row],[Name]],COUNTIF($E$4:E40,Table54[[#This Row],[Name]]),"")</f>
        <v>37</v>
      </c>
      <c r="E40" s="49" t="str">
        <f>IF(Table54[[#This Row],[FN]]=0,"",CONCATENATE(Table54[[#This Row],[FN]]," ",Table54[[#This Row],[LN]]))</f>
        <v/>
      </c>
      <c r="F40" s="90"/>
      <c r="G40" s="90"/>
      <c r="H40" s="90"/>
      <c r="J40" s="53" t="str">
        <f>IFERROR(INDEX(Table54[Name],_xlfn.AGGREGATE(15,6,(ROW(Table54[Name])-MIN(ROW(Table54[Name]))+1)/(Table54[Name]&lt;&gt;"")/(ISNA(MATCH(Table54[Name],$J$3:J39,0))),1)),"")</f>
        <v/>
      </c>
      <c r="K40" s="44">
        <f t="shared" si="5"/>
        <v>0</v>
      </c>
      <c r="L40" s="44">
        <f t="shared" si="5"/>
        <v>0</v>
      </c>
      <c r="M40" s="44">
        <f t="shared" si="5"/>
        <v>0</v>
      </c>
      <c r="N40" s="44">
        <f t="shared" si="5"/>
        <v>0</v>
      </c>
      <c r="P40" s="49" t="str">
        <f>IF(MONEEInfo[[#This Row],[FN]]=0,"",CONCATENATE(MONEEInfo[[#This Row],[FN]]," ",MONEEInfo[[#This Row],[LN]]))</f>
        <v/>
      </c>
      <c r="Q40" s="49"/>
      <c r="R40" s="49"/>
      <c r="S40" s="49"/>
      <c r="U40" s="53" t="str">
        <f>IFERROR(INDEX(MONEEInfo[Name],_xlfn.AGGREGATE(15,6,(ROW(MONEEInfo[Name])-MIN(ROW(MONEEInfo[Name]))+1)/(MONEEInfo[Name]&lt;&gt;"")/(ISNA(MATCH(MONEEInfo[Name],$U$3:U39,0))),1)),"")</f>
        <v/>
      </c>
      <c r="V40" s="44">
        <f t="shared" si="6"/>
        <v>0</v>
      </c>
      <c r="W40" s="44">
        <f t="shared" si="6"/>
        <v>0</v>
      </c>
      <c r="X40" s="44">
        <f t="shared" si="6"/>
        <v>0</v>
      </c>
      <c r="Y40" s="44">
        <f t="shared" si="6"/>
        <v>0</v>
      </c>
      <c r="AA40" s="49" t="str">
        <f>IF(ESDEEInfo[[#This Row],[FN]]=0,"",CONCATENATE(ESDEEInfo[[#This Row],[FN]]," ",ESDEEInfo[[#This Row],[LN]]))</f>
        <v/>
      </c>
      <c r="AB40" s="49"/>
      <c r="AC40" s="49"/>
      <c r="AD40" s="49"/>
      <c r="AF40" s="53" t="str">
        <f>IFERROR(INDEX(ESDEEInfo[Name],_xlfn.AGGREGATE(15,6,(ROW(ESDEEInfo[Name])-MIN(ROW(ESDEEInfo[Name]))+1)/(ESDEEInfo[Name]&lt;&gt;"")/(ISNA(MATCH(ESDEEInfo[Name],$AF$3:AF39,0))),1)),"")</f>
        <v/>
      </c>
      <c r="AG40" s="44">
        <f t="shared" si="7"/>
        <v>0</v>
      </c>
      <c r="AH40" s="44">
        <f t="shared" si="7"/>
        <v>0</v>
      </c>
      <c r="AI40" s="44">
        <f t="shared" si="7"/>
        <v>0</v>
      </c>
      <c r="AJ40" s="44">
        <f t="shared" si="7"/>
        <v>0</v>
      </c>
      <c r="AL40" s="49" t="str">
        <f>IF(DAYEEInfo[[#This Row],[FN]]=0,"",CONCATENATE(DAYEEInfo[[#This Row],[FN]]," ",DAYEEInfo[[#This Row],[LN]]))</f>
        <v xml:space="preserve"> </v>
      </c>
      <c r="AM40" s="49" t="s">
        <v>114</v>
      </c>
      <c r="AN40" s="49" t="s">
        <v>114</v>
      </c>
      <c r="AO40" s="49" t="s">
        <v>114</v>
      </c>
      <c r="AQ40" s="53" t="str">
        <f t="array" ref="AQ40">IFERROR(INDEX(DAYEEInfo[Name],_xlfn.AGGREGATE(15,6,(ROW(DAYEEInfo[Name])-MIN(ROW(DAYEEInfo[Name]))+1)/(DAYEEInfo[Name]&lt;&gt;"")/(ISNA(MATCH(DAYEEInfo[Name],$AQ$3:AQ39,0))),1)),"")</f>
        <v/>
      </c>
      <c r="AR40" s="44" t="str">
        <f t="shared" si="8"/>
        <v/>
      </c>
      <c r="AS40" s="44" t="str">
        <f t="shared" si="8"/>
        <v/>
      </c>
      <c r="AT40" s="44" t="str">
        <f t="shared" si="8"/>
        <v/>
      </c>
      <c r="AU40" s="44" t="str">
        <f t="shared" si="8"/>
        <v/>
      </c>
      <c r="AV40" s="102" t="str">
        <f t="shared" si="8"/>
        <v/>
      </c>
      <c r="AW40" s="102" t="str">
        <f t="shared" si="8"/>
        <v/>
      </c>
      <c r="AX40" s="102" t="str">
        <f t="shared" si="8"/>
        <v/>
      </c>
    </row>
    <row r="41" spans="1:50" ht="12.75" customHeight="1" x14ac:dyDescent="0.25">
      <c r="A41" s="6"/>
      <c r="B41" s="1" t="str">
        <f t="array" ref="B41">IFERROR(IF($B$3=Worksheet!$K$3,INDEX(Table43[EE Name],MATCH(0,COUNTIF($B$13:B40,Table43[EE Name]),0)),IF($B$3=Worksheet!$K$4,INDEX(Table4312[EE Name],MATCH(0,COUNTIF($B$13:B40,Table4312[EE Name]),0)),IF($B$3=Worksheet!$K$2,INDEX(ESDPosition[EE Name],MATCH(0,COUNTIF($B$13:B40,ESDPosition[EE Name]),0)),IF($B$3=Worksheet!$K$5,INDEX(DAYPosition[EE Name],MATCH(0,COUNTIF($B$13:B40,DAYPosition[EE Name]),0)),"")))),"")</f>
        <v/>
      </c>
      <c r="C41" s="1"/>
      <c r="D41" s="64">
        <f>IF(Table54[[#This Row],[Name]]=Table54[[#This Row],[Name]],COUNTIF($E$4:E41,Table54[[#This Row],[Name]]),"")</f>
        <v>38</v>
      </c>
      <c r="E41" s="49" t="str">
        <f>IF(Table54[[#This Row],[FN]]=0,"",CONCATENATE(Table54[[#This Row],[FN]]," ",Table54[[#This Row],[LN]]))</f>
        <v/>
      </c>
      <c r="F41" s="90"/>
      <c r="G41" s="90"/>
      <c r="H41" s="90"/>
      <c r="J41" s="53" t="str">
        <f>IFERROR(INDEX(Table54[Name],_xlfn.AGGREGATE(15,6,(ROW(Table54[Name])-MIN(ROW(Table54[Name]))+1)/(Table54[Name]&lt;&gt;"")/(ISNA(MATCH(Table54[Name],$J$3:J40,0))),1)),"")</f>
        <v/>
      </c>
      <c r="K41" s="44">
        <f t="shared" si="5"/>
        <v>0</v>
      </c>
      <c r="L41" s="44">
        <f t="shared" si="5"/>
        <v>0</v>
      </c>
      <c r="M41" s="44">
        <f t="shared" si="5"/>
        <v>0</v>
      </c>
      <c r="N41" s="44">
        <f t="shared" si="5"/>
        <v>0</v>
      </c>
      <c r="P41" s="49" t="str">
        <f>IF(MONEEInfo[[#This Row],[FN]]=0,"",CONCATENATE(MONEEInfo[[#This Row],[FN]]," ",MONEEInfo[[#This Row],[LN]]))</f>
        <v/>
      </c>
      <c r="Q41" s="49"/>
      <c r="R41" s="49"/>
      <c r="S41" s="49"/>
      <c r="U41" s="53" t="str">
        <f>IFERROR(INDEX(MONEEInfo[Name],_xlfn.AGGREGATE(15,6,(ROW(MONEEInfo[Name])-MIN(ROW(MONEEInfo[Name]))+1)/(MONEEInfo[Name]&lt;&gt;"")/(ISNA(MATCH(MONEEInfo[Name],$U$3:U40,0))),1)),"")</f>
        <v/>
      </c>
      <c r="V41" s="44">
        <f t="shared" si="6"/>
        <v>0</v>
      </c>
      <c r="W41" s="44">
        <f t="shared" si="6"/>
        <v>0</v>
      </c>
      <c r="X41" s="44">
        <f t="shared" si="6"/>
        <v>0</v>
      </c>
      <c r="Y41" s="44">
        <f t="shared" si="6"/>
        <v>0</v>
      </c>
      <c r="AA41" s="49" t="str">
        <f>IF(ESDEEInfo[[#This Row],[FN]]=0,"",CONCATENATE(ESDEEInfo[[#This Row],[FN]]," ",ESDEEInfo[[#This Row],[LN]]))</f>
        <v/>
      </c>
      <c r="AB41" s="49"/>
      <c r="AC41" s="49"/>
      <c r="AD41" s="49"/>
      <c r="AF41" s="53" t="str">
        <f>IFERROR(INDEX(ESDEEInfo[Name],_xlfn.AGGREGATE(15,6,(ROW(ESDEEInfo[Name])-MIN(ROW(ESDEEInfo[Name]))+1)/(ESDEEInfo[Name]&lt;&gt;"")/(ISNA(MATCH(ESDEEInfo[Name],$AF$3:AF40,0))),1)),"")</f>
        <v/>
      </c>
      <c r="AG41" s="44">
        <f t="shared" si="7"/>
        <v>0</v>
      </c>
      <c r="AH41" s="44">
        <f t="shared" si="7"/>
        <v>0</v>
      </c>
      <c r="AI41" s="44">
        <f t="shared" si="7"/>
        <v>0</v>
      </c>
      <c r="AJ41" s="44">
        <f t="shared" si="7"/>
        <v>0</v>
      </c>
      <c r="AL41" s="49" t="str">
        <f>IF(DAYEEInfo[[#This Row],[FN]]=0,"",CONCATENATE(DAYEEInfo[[#This Row],[FN]]," ",DAYEEInfo[[#This Row],[LN]]))</f>
        <v xml:space="preserve"> </v>
      </c>
      <c r="AM41" s="49" t="s">
        <v>114</v>
      </c>
      <c r="AN41" s="49" t="s">
        <v>114</v>
      </c>
      <c r="AO41" s="49" t="s">
        <v>114</v>
      </c>
      <c r="AQ41" s="53" t="str">
        <f t="array" ref="AQ41">IFERROR(INDEX(DAYEEInfo[Name],_xlfn.AGGREGATE(15,6,(ROW(DAYEEInfo[Name])-MIN(ROW(DAYEEInfo[Name]))+1)/(DAYEEInfo[Name]&lt;&gt;"")/(ISNA(MATCH(DAYEEInfo[Name],$AQ$3:AQ40,0))),1)),"")</f>
        <v/>
      </c>
      <c r="AR41" s="44" t="str">
        <f t="shared" si="8"/>
        <v/>
      </c>
      <c r="AS41" s="44" t="str">
        <f t="shared" si="8"/>
        <v/>
      </c>
      <c r="AT41" s="44" t="str">
        <f t="shared" si="8"/>
        <v/>
      </c>
      <c r="AU41" s="44" t="str">
        <f t="shared" si="8"/>
        <v/>
      </c>
      <c r="AV41" s="102" t="str">
        <f t="shared" si="8"/>
        <v/>
      </c>
      <c r="AW41" s="102" t="str">
        <f t="shared" si="8"/>
        <v/>
      </c>
      <c r="AX41" s="102" t="str">
        <f t="shared" si="8"/>
        <v/>
      </c>
    </row>
    <row r="42" spans="1:50" ht="12.75" customHeight="1" x14ac:dyDescent="0.25">
      <c r="A42" s="6"/>
      <c r="B42" s="1" t="str">
        <f t="array" ref="B42">IFERROR(IF($B$3=Worksheet!$K$3,INDEX(Table43[EE Name],MATCH(0,COUNTIF($B$13:B41,Table43[EE Name]),0)),IF($B$3=Worksheet!$K$4,INDEX(Table4312[EE Name],MATCH(0,COUNTIF($B$13:B41,Table4312[EE Name]),0)),IF($B$3=Worksheet!$K$2,INDEX(ESDPosition[EE Name],MATCH(0,COUNTIF($B$13:B41,ESDPosition[EE Name]),0)),IF($B$3=Worksheet!$K$5,INDEX(DAYPosition[EE Name],MATCH(0,COUNTIF($B$13:B41,DAYPosition[EE Name]),0)),"")))),"")</f>
        <v/>
      </c>
      <c r="C42" s="1"/>
      <c r="D42" s="64">
        <f>IF(Table54[[#This Row],[Name]]=Table54[[#This Row],[Name]],COUNTIF($E$4:E42,Table54[[#This Row],[Name]]),"")</f>
        <v>39</v>
      </c>
      <c r="E42" s="49" t="str">
        <f>IF(Table54[[#This Row],[FN]]=0,"",CONCATENATE(Table54[[#This Row],[FN]]," ",Table54[[#This Row],[LN]]))</f>
        <v/>
      </c>
      <c r="F42" s="90"/>
      <c r="G42" s="90"/>
      <c r="H42" s="90"/>
      <c r="J42" s="53" t="str">
        <f>IFERROR(INDEX(Table54[Name],_xlfn.AGGREGATE(15,6,(ROW(Table54[Name])-MIN(ROW(Table54[Name]))+1)/(Table54[Name]&lt;&gt;"")/(ISNA(MATCH(Table54[Name],$J$3:J41,0))),1)),"")</f>
        <v/>
      </c>
      <c r="K42" s="44">
        <f t="shared" si="5"/>
        <v>0</v>
      </c>
      <c r="L42" s="44">
        <f t="shared" si="5"/>
        <v>0</v>
      </c>
      <c r="M42" s="44">
        <f t="shared" si="5"/>
        <v>0</v>
      </c>
      <c r="N42" s="44">
        <f t="shared" si="5"/>
        <v>0</v>
      </c>
      <c r="P42" s="49" t="str">
        <f>IF(MONEEInfo[[#This Row],[FN]]=0,"",CONCATENATE(MONEEInfo[[#This Row],[FN]]," ",MONEEInfo[[#This Row],[LN]]))</f>
        <v/>
      </c>
      <c r="Q42" s="49"/>
      <c r="R42" s="49"/>
      <c r="S42" s="49"/>
      <c r="U42" s="53" t="str">
        <f>IFERROR(INDEX(MONEEInfo[Name],_xlfn.AGGREGATE(15,6,(ROW(MONEEInfo[Name])-MIN(ROW(MONEEInfo[Name]))+1)/(MONEEInfo[Name]&lt;&gt;"")/(ISNA(MATCH(MONEEInfo[Name],$U$3:U41,0))),1)),"")</f>
        <v/>
      </c>
      <c r="V42" s="44">
        <f t="shared" si="6"/>
        <v>0</v>
      </c>
      <c r="W42" s="44">
        <f t="shared" si="6"/>
        <v>0</v>
      </c>
      <c r="X42" s="44">
        <f t="shared" si="6"/>
        <v>0</v>
      </c>
      <c r="Y42" s="44">
        <f t="shared" si="6"/>
        <v>0</v>
      </c>
      <c r="AA42" s="49" t="str">
        <f>IF(ESDEEInfo[[#This Row],[FN]]=0,"",CONCATENATE(ESDEEInfo[[#This Row],[FN]]," ",ESDEEInfo[[#This Row],[LN]]))</f>
        <v/>
      </c>
      <c r="AB42" s="49"/>
      <c r="AC42" s="49"/>
      <c r="AD42" s="49"/>
      <c r="AF42" s="53" t="str">
        <f>IFERROR(INDEX(ESDEEInfo[Name],_xlfn.AGGREGATE(15,6,(ROW(ESDEEInfo[Name])-MIN(ROW(ESDEEInfo[Name]))+1)/(ESDEEInfo[Name]&lt;&gt;"")/(ISNA(MATCH(ESDEEInfo[Name],$AF$3:AF41,0))),1)),"")</f>
        <v/>
      </c>
      <c r="AG42" s="44">
        <f t="shared" si="7"/>
        <v>0</v>
      </c>
      <c r="AH42" s="44">
        <f t="shared" si="7"/>
        <v>0</v>
      </c>
      <c r="AI42" s="44">
        <f t="shared" si="7"/>
        <v>0</v>
      </c>
      <c r="AJ42" s="44">
        <f t="shared" si="7"/>
        <v>0</v>
      </c>
      <c r="AL42" s="49" t="str">
        <f>IF(DAYEEInfo[[#This Row],[FN]]=0,"",CONCATENATE(DAYEEInfo[[#This Row],[FN]]," ",DAYEEInfo[[#This Row],[LN]]))</f>
        <v xml:space="preserve"> </v>
      </c>
      <c r="AM42" s="49" t="s">
        <v>114</v>
      </c>
      <c r="AN42" s="49" t="s">
        <v>114</v>
      </c>
      <c r="AO42" s="49" t="s">
        <v>114</v>
      </c>
      <c r="AQ42" s="53" t="str">
        <f t="array" ref="AQ42">IFERROR(INDEX(DAYEEInfo[Name],_xlfn.AGGREGATE(15,6,(ROW(DAYEEInfo[Name])-MIN(ROW(DAYEEInfo[Name]))+1)/(DAYEEInfo[Name]&lt;&gt;"")/(ISNA(MATCH(DAYEEInfo[Name],$AQ$3:AQ41,0))),1)),"")</f>
        <v/>
      </c>
      <c r="AR42" s="44" t="str">
        <f t="shared" si="8"/>
        <v/>
      </c>
      <c r="AS42" s="44" t="str">
        <f t="shared" si="8"/>
        <v/>
      </c>
      <c r="AT42" s="44" t="str">
        <f t="shared" si="8"/>
        <v/>
      </c>
      <c r="AU42" s="44" t="str">
        <f t="shared" si="8"/>
        <v/>
      </c>
      <c r="AV42" s="102" t="str">
        <f t="shared" si="8"/>
        <v/>
      </c>
      <c r="AW42" s="102" t="str">
        <f t="shared" si="8"/>
        <v/>
      </c>
      <c r="AX42" s="102" t="str">
        <f t="shared" si="8"/>
        <v/>
      </c>
    </row>
    <row r="43" spans="1:50" ht="12.75" customHeight="1" x14ac:dyDescent="0.25">
      <c r="A43" s="6"/>
      <c r="B43" s="1" t="str">
        <f t="array" ref="B43">IFERROR(IF($B$3=Worksheet!$K$3,INDEX(Table43[EE Name],MATCH(0,COUNTIF($B$13:B42,Table43[EE Name]),0)),IF($B$3=Worksheet!$K$4,INDEX(Table4312[EE Name],MATCH(0,COUNTIF($B$13:B42,Table4312[EE Name]),0)),IF($B$3=Worksheet!$K$2,INDEX(ESDPosition[EE Name],MATCH(0,COUNTIF($B$13:B42,ESDPosition[EE Name]),0)),IF($B$3=Worksheet!$K$5,INDEX(DAYPosition[EE Name],MATCH(0,COUNTIF($B$13:B42,DAYPosition[EE Name]),0)),"")))),"")</f>
        <v/>
      </c>
      <c r="C43" s="1"/>
      <c r="D43" s="64">
        <f>IF(Table54[[#This Row],[Name]]=Table54[[#This Row],[Name]],COUNTIF($E$4:E43,Table54[[#This Row],[Name]]),"")</f>
        <v>40</v>
      </c>
      <c r="E43" s="49" t="str">
        <f>IF(Table54[[#This Row],[FN]]=0,"",CONCATENATE(Table54[[#This Row],[FN]]," ",Table54[[#This Row],[LN]]))</f>
        <v/>
      </c>
      <c r="F43" s="90"/>
      <c r="G43" s="90"/>
      <c r="H43" s="90"/>
      <c r="J43" s="53" t="str">
        <f>IFERROR(INDEX(Table54[Name],_xlfn.AGGREGATE(15,6,(ROW(Table54[Name])-MIN(ROW(Table54[Name]))+1)/(Table54[Name]&lt;&gt;"")/(ISNA(MATCH(Table54[Name],$J$3:J42,0))),1)),"")</f>
        <v/>
      </c>
      <c r="K43" s="44">
        <f t="shared" si="5"/>
        <v>0</v>
      </c>
      <c r="L43" s="44">
        <f t="shared" si="5"/>
        <v>0</v>
      </c>
      <c r="M43" s="44">
        <f t="shared" si="5"/>
        <v>0</v>
      </c>
      <c r="N43" s="44">
        <f t="shared" si="5"/>
        <v>0</v>
      </c>
      <c r="P43" s="49" t="str">
        <f>IF(MONEEInfo[[#This Row],[FN]]=0,"",CONCATENATE(MONEEInfo[[#This Row],[FN]]," ",MONEEInfo[[#This Row],[LN]]))</f>
        <v/>
      </c>
      <c r="Q43" s="49"/>
      <c r="R43" s="49"/>
      <c r="S43" s="49"/>
      <c r="U43" s="53" t="str">
        <f>IFERROR(INDEX(MONEEInfo[Name],_xlfn.AGGREGATE(15,6,(ROW(MONEEInfo[Name])-MIN(ROW(MONEEInfo[Name]))+1)/(MONEEInfo[Name]&lt;&gt;"")/(ISNA(MATCH(MONEEInfo[Name],$U$3:U42,0))),1)),"")</f>
        <v/>
      </c>
      <c r="V43" s="44">
        <f t="shared" si="6"/>
        <v>0</v>
      </c>
      <c r="W43" s="44">
        <f t="shared" si="6"/>
        <v>0</v>
      </c>
      <c r="X43" s="44">
        <f t="shared" si="6"/>
        <v>0</v>
      </c>
      <c r="Y43" s="44">
        <f t="shared" si="6"/>
        <v>0</v>
      </c>
      <c r="AA43" s="49" t="str">
        <f>IF(ESDEEInfo[[#This Row],[FN]]=0,"",CONCATENATE(ESDEEInfo[[#This Row],[FN]]," ",ESDEEInfo[[#This Row],[LN]]))</f>
        <v/>
      </c>
      <c r="AB43" s="49"/>
      <c r="AC43" s="49"/>
      <c r="AD43" s="49"/>
      <c r="AF43" s="53" t="str">
        <f>IFERROR(INDEX(ESDEEInfo[Name],_xlfn.AGGREGATE(15,6,(ROW(ESDEEInfo[Name])-MIN(ROW(ESDEEInfo[Name]))+1)/(ESDEEInfo[Name]&lt;&gt;"")/(ISNA(MATCH(ESDEEInfo[Name],$AF$3:AF42,0))),1)),"")</f>
        <v/>
      </c>
      <c r="AG43" s="44">
        <f t="shared" si="7"/>
        <v>0</v>
      </c>
      <c r="AH43" s="44">
        <f t="shared" si="7"/>
        <v>0</v>
      </c>
      <c r="AI43" s="44">
        <f t="shared" si="7"/>
        <v>0</v>
      </c>
      <c r="AJ43" s="44">
        <f t="shared" si="7"/>
        <v>0</v>
      </c>
      <c r="AL43" s="49" t="str">
        <f>IF(DAYEEInfo[[#This Row],[FN]]=0,"",CONCATENATE(DAYEEInfo[[#This Row],[FN]]," ",DAYEEInfo[[#This Row],[LN]]))</f>
        <v xml:space="preserve"> </v>
      </c>
      <c r="AM43" s="49" t="s">
        <v>114</v>
      </c>
      <c r="AN43" s="49" t="s">
        <v>114</v>
      </c>
      <c r="AO43" s="49" t="s">
        <v>114</v>
      </c>
      <c r="AQ43" s="53" t="str">
        <f t="array" ref="AQ43">IFERROR(INDEX(DAYEEInfo[Name],_xlfn.AGGREGATE(15,6,(ROW(DAYEEInfo[Name])-MIN(ROW(DAYEEInfo[Name]))+1)/(DAYEEInfo[Name]&lt;&gt;"")/(ISNA(MATCH(DAYEEInfo[Name],$AQ$3:AQ42,0))),1)),"")</f>
        <v/>
      </c>
      <c r="AR43" s="44" t="str">
        <f t="shared" si="8"/>
        <v/>
      </c>
      <c r="AS43" s="44" t="str">
        <f t="shared" si="8"/>
        <v/>
      </c>
      <c r="AT43" s="44" t="str">
        <f t="shared" si="8"/>
        <v/>
      </c>
      <c r="AU43" s="44" t="str">
        <f t="shared" si="8"/>
        <v/>
      </c>
      <c r="AV43" s="102" t="str">
        <f t="shared" si="8"/>
        <v/>
      </c>
      <c r="AW43" s="102" t="str">
        <f t="shared" si="8"/>
        <v/>
      </c>
      <c r="AX43" s="102" t="str">
        <f t="shared" si="8"/>
        <v/>
      </c>
    </row>
    <row r="44" spans="1:50" ht="12.75" customHeight="1" x14ac:dyDescent="0.25">
      <c r="A44" s="6"/>
      <c r="B44" s="1" t="str">
        <f t="array" ref="B44">IFERROR(IF($B$3=Worksheet!$K$3,INDEX(Table43[EE Name],MATCH(0,COUNTIF($B$13:B43,Table43[EE Name]),0)),IF($B$3=Worksheet!$K$4,INDEX(Table4312[EE Name],MATCH(0,COUNTIF($B$13:B43,Table4312[EE Name]),0)),IF($B$3=Worksheet!$K$2,INDEX(ESDPosition[EE Name],MATCH(0,COUNTIF($B$13:B43,ESDPosition[EE Name]),0)),IF($B$3=Worksheet!$K$5,INDEX(DAYPosition[EE Name],MATCH(0,COUNTIF($B$13:B43,DAYPosition[EE Name]),0)),"")))),"")</f>
        <v/>
      </c>
      <c r="C44" s="1"/>
      <c r="D44" s="64">
        <f>IF(Table54[[#This Row],[Name]]=Table54[[#This Row],[Name]],COUNTIF($E$4:E44,Table54[[#This Row],[Name]]),"")</f>
        <v>41</v>
      </c>
      <c r="E44" s="49" t="str">
        <f>IF(Table54[[#This Row],[FN]]=0,"",CONCATENATE(Table54[[#This Row],[FN]]," ",Table54[[#This Row],[LN]]))</f>
        <v/>
      </c>
      <c r="F44" s="90"/>
      <c r="G44" s="90"/>
      <c r="H44" s="90"/>
      <c r="J44" s="53" t="str">
        <f>IFERROR(INDEX(Table54[Name],_xlfn.AGGREGATE(15,6,(ROW(Table54[Name])-MIN(ROW(Table54[Name]))+1)/(Table54[Name]&lt;&gt;"")/(ISNA(MATCH(Table54[Name],$J$3:J43,0))),1)),"")</f>
        <v/>
      </c>
      <c r="K44" s="44">
        <f t="shared" ref="K44:N62" si="9">IF(COLUMN()-$J$1&lt;=COUNTIF($E$4:$E$62,$J44),INDEX($H$4:$H$62,MATCH($J44,$E$4:$E$62,0)+COLUMN()-$K$1),"")</f>
        <v>0</v>
      </c>
      <c r="L44" s="44">
        <f t="shared" si="9"/>
        <v>0</v>
      </c>
      <c r="M44" s="44">
        <f t="shared" si="9"/>
        <v>0</v>
      </c>
      <c r="N44" s="44">
        <f t="shared" si="9"/>
        <v>0</v>
      </c>
      <c r="P44" s="49" t="str">
        <f>IF(MONEEInfo[[#This Row],[FN]]=0,"",CONCATENATE(MONEEInfo[[#This Row],[FN]]," ",MONEEInfo[[#This Row],[LN]]))</f>
        <v/>
      </c>
      <c r="Q44" s="49"/>
      <c r="R44" s="49"/>
      <c r="S44" s="49"/>
      <c r="U44" s="53" t="str">
        <f>IFERROR(INDEX(MONEEInfo[Name],_xlfn.AGGREGATE(15,6,(ROW(MONEEInfo[Name])-MIN(ROW(MONEEInfo[Name]))+1)/(MONEEInfo[Name]&lt;&gt;"")/(ISNA(MATCH(MONEEInfo[Name],$U$3:U43,0))),1)),"")</f>
        <v/>
      </c>
      <c r="V44" s="44">
        <f t="shared" ref="V44:Y62" si="10">IF(COLUMN()-$U$1&lt;=COUNTIF($P$4:$P$62,$U44),INDEX($S$4:$S$62,MATCH($U44,$P$4:$P$62,0)+COLUMN()-$V$1),"")</f>
        <v>0</v>
      </c>
      <c r="W44" s="44">
        <f t="shared" si="10"/>
        <v>0</v>
      </c>
      <c r="X44" s="44">
        <f t="shared" si="10"/>
        <v>0</v>
      </c>
      <c r="Y44" s="44">
        <f t="shared" si="10"/>
        <v>0</v>
      </c>
      <c r="AA44" s="49" t="str">
        <f>IF(ESDEEInfo[[#This Row],[FN]]=0,"",CONCATENATE(ESDEEInfo[[#This Row],[FN]]," ",ESDEEInfo[[#This Row],[LN]]))</f>
        <v/>
      </c>
      <c r="AB44" s="49"/>
      <c r="AC44" s="49"/>
      <c r="AD44" s="49"/>
      <c r="AF44" s="53" t="str">
        <f>IFERROR(INDEX(ESDEEInfo[Name],_xlfn.AGGREGATE(15,6,(ROW(ESDEEInfo[Name])-MIN(ROW(ESDEEInfo[Name]))+1)/(ESDEEInfo[Name]&lt;&gt;"")/(ISNA(MATCH(ESDEEInfo[Name],$AF$3:AF43,0))),1)),"")</f>
        <v/>
      </c>
      <c r="AG44" s="44">
        <f t="shared" ref="AG44:AJ62" si="11">IFERROR(IF(COLUMN()-$AF$1&lt;=COUNTIF($AA$4:$AA$62,$AF44),INDEX($AD$4:$AD$62,MATCH($AF44,$AA$4:$AA$62,0)+COLUMN()-$AG$1),""),"")</f>
        <v>0</v>
      </c>
      <c r="AH44" s="44">
        <f t="shared" si="11"/>
        <v>0</v>
      </c>
      <c r="AI44" s="44">
        <f t="shared" si="11"/>
        <v>0</v>
      </c>
      <c r="AJ44" s="44">
        <f t="shared" si="11"/>
        <v>0</v>
      </c>
      <c r="AL44" s="49" t="str">
        <f>IF(DAYEEInfo[[#This Row],[FN]]=0,"",CONCATENATE(DAYEEInfo[[#This Row],[FN]]," ",DAYEEInfo[[#This Row],[LN]]))</f>
        <v xml:space="preserve"> </v>
      </c>
      <c r="AM44" s="49" t="s">
        <v>114</v>
      </c>
      <c r="AN44" s="49" t="s">
        <v>114</v>
      </c>
      <c r="AO44" s="49" t="s">
        <v>114</v>
      </c>
      <c r="AQ44" s="53" t="str">
        <f t="array" ref="AQ44">IFERROR(INDEX(DAYEEInfo[Name],_xlfn.AGGREGATE(15,6,(ROW(DAYEEInfo[Name])-MIN(ROW(DAYEEInfo[Name]))+1)/(DAYEEInfo[Name]&lt;&gt;"")/(ISNA(MATCH(DAYEEInfo[Name],$AQ$3:AQ43,0))),1)),"")</f>
        <v/>
      </c>
      <c r="AR44" s="44" t="str">
        <f t="shared" ref="AR44:AX62" si="12">IFERROR(IF(COLUMN()-$AQ$1&lt;=COUNTIF($AL$4:$AL$62,$AQ44),INDEX($AO$4:$AO$62,MATCH($AQ44,$AL$4:$AL$62,0)+COLUMN()-$AR$1),""),"")</f>
        <v/>
      </c>
      <c r="AS44" s="44" t="str">
        <f t="shared" si="12"/>
        <v/>
      </c>
      <c r="AT44" s="44" t="str">
        <f t="shared" si="12"/>
        <v/>
      </c>
      <c r="AU44" s="44" t="str">
        <f t="shared" si="12"/>
        <v/>
      </c>
      <c r="AV44" s="102" t="str">
        <f t="shared" si="12"/>
        <v/>
      </c>
      <c r="AW44" s="102" t="str">
        <f t="shared" si="12"/>
        <v/>
      </c>
      <c r="AX44" s="102" t="str">
        <f t="shared" si="12"/>
        <v/>
      </c>
    </row>
    <row r="45" spans="1:50" ht="12.75" customHeight="1" x14ac:dyDescent="0.25">
      <c r="A45" s="6"/>
      <c r="B45" s="1" t="str">
        <f t="array" ref="B45">IFERROR(IF($B$3=Worksheet!$K$3,INDEX(Table43[EE Name],MATCH(0,COUNTIF($B$13:B44,Table43[EE Name]),0)),IF($B$3=Worksheet!$K$4,INDEX(Table4312[EE Name],MATCH(0,COUNTIF($B$13:B44,Table4312[EE Name]),0)),IF($B$3=Worksheet!$K$2,INDEX(ESDPosition[EE Name],MATCH(0,COUNTIF($B$13:B44,ESDPosition[EE Name]),0)),IF($B$3=Worksheet!$K$5,INDEX(DAYPosition[EE Name],MATCH(0,COUNTIF($B$13:B44,DAYPosition[EE Name]),0)),"")))),"")</f>
        <v/>
      </c>
      <c r="C45" s="1"/>
      <c r="D45" s="64">
        <f>IF(Table54[[#This Row],[Name]]=Table54[[#This Row],[Name]],COUNTIF($E$4:E45,Table54[[#This Row],[Name]]),"")</f>
        <v>42</v>
      </c>
      <c r="E45" s="49" t="str">
        <f>IF(Table54[[#This Row],[FN]]=0,"",CONCATENATE(Table54[[#This Row],[FN]]," ",Table54[[#This Row],[LN]]))</f>
        <v/>
      </c>
      <c r="F45" s="90"/>
      <c r="G45" s="90"/>
      <c r="H45" s="90"/>
      <c r="J45" s="53" t="str">
        <f>IFERROR(INDEX(Table54[Name],_xlfn.AGGREGATE(15,6,(ROW(Table54[Name])-MIN(ROW(Table54[Name]))+1)/(Table54[Name]&lt;&gt;"")/(ISNA(MATCH(Table54[Name],$J$3:J44,0))),1)),"")</f>
        <v/>
      </c>
      <c r="K45" s="44">
        <f t="shared" si="9"/>
        <v>0</v>
      </c>
      <c r="L45" s="44">
        <f t="shared" si="9"/>
        <v>0</v>
      </c>
      <c r="M45" s="44">
        <f t="shared" si="9"/>
        <v>0</v>
      </c>
      <c r="N45" s="44">
        <f t="shared" si="9"/>
        <v>0</v>
      </c>
      <c r="P45" s="49" t="str">
        <f>IF(MONEEInfo[[#This Row],[FN]]=0,"",CONCATENATE(MONEEInfo[[#This Row],[FN]]," ",MONEEInfo[[#This Row],[LN]]))</f>
        <v/>
      </c>
      <c r="Q45" s="49"/>
      <c r="R45" s="49"/>
      <c r="S45" s="49"/>
      <c r="U45" s="53" t="str">
        <f>IFERROR(INDEX(MONEEInfo[Name],_xlfn.AGGREGATE(15,6,(ROW(MONEEInfo[Name])-MIN(ROW(MONEEInfo[Name]))+1)/(MONEEInfo[Name]&lt;&gt;"")/(ISNA(MATCH(MONEEInfo[Name],$U$3:U44,0))),1)),"")</f>
        <v/>
      </c>
      <c r="V45" s="44">
        <f t="shared" si="10"/>
        <v>0</v>
      </c>
      <c r="W45" s="44">
        <f t="shared" si="10"/>
        <v>0</v>
      </c>
      <c r="X45" s="44">
        <f t="shared" si="10"/>
        <v>0</v>
      </c>
      <c r="Y45" s="44">
        <f t="shared" si="10"/>
        <v>0</v>
      </c>
      <c r="AA45" s="49" t="str">
        <f>IF(ESDEEInfo[[#This Row],[FN]]=0,"",CONCATENATE(ESDEEInfo[[#This Row],[FN]]," ",ESDEEInfo[[#This Row],[LN]]))</f>
        <v/>
      </c>
      <c r="AB45" s="49"/>
      <c r="AC45" s="49"/>
      <c r="AD45" s="49"/>
      <c r="AF45" s="53" t="str">
        <f>IFERROR(INDEX(ESDEEInfo[Name],_xlfn.AGGREGATE(15,6,(ROW(ESDEEInfo[Name])-MIN(ROW(ESDEEInfo[Name]))+1)/(ESDEEInfo[Name]&lt;&gt;"")/(ISNA(MATCH(ESDEEInfo[Name],$AF$3:AF44,0))),1)),"")</f>
        <v/>
      </c>
      <c r="AG45" s="44">
        <f t="shared" si="11"/>
        <v>0</v>
      </c>
      <c r="AH45" s="44">
        <f t="shared" si="11"/>
        <v>0</v>
      </c>
      <c r="AI45" s="44">
        <f t="shared" si="11"/>
        <v>0</v>
      </c>
      <c r="AJ45" s="44">
        <f t="shared" si="11"/>
        <v>0</v>
      </c>
      <c r="AL45" s="49" t="str">
        <f>IF(DAYEEInfo[[#This Row],[FN]]=0,"",CONCATENATE(DAYEEInfo[[#This Row],[FN]]," ",DAYEEInfo[[#This Row],[LN]]))</f>
        <v xml:space="preserve"> </v>
      </c>
      <c r="AM45" s="49" t="s">
        <v>114</v>
      </c>
      <c r="AN45" s="49" t="s">
        <v>114</v>
      </c>
      <c r="AO45" s="49" t="s">
        <v>114</v>
      </c>
      <c r="AQ45" s="53" t="str">
        <f t="array" ref="AQ45">IFERROR(INDEX(DAYEEInfo[Name],_xlfn.AGGREGATE(15,6,(ROW(DAYEEInfo[Name])-MIN(ROW(DAYEEInfo[Name]))+1)/(DAYEEInfo[Name]&lt;&gt;"")/(ISNA(MATCH(DAYEEInfo[Name],$AQ$3:AQ44,0))),1)),"")</f>
        <v/>
      </c>
      <c r="AR45" s="44" t="str">
        <f t="shared" si="12"/>
        <v/>
      </c>
      <c r="AS45" s="44" t="str">
        <f t="shared" si="12"/>
        <v/>
      </c>
      <c r="AT45" s="44" t="str">
        <f t="shared" si="12"/>
        <v/>
      </c>
      <c r="AU45" s="44" t="str">
        <f t="shared" si="12"/>
        <v/>
      </c>
      <c r="AV45" s="102" t="str">
        <f t="shared" si="12"/>
        <v/>
      </c>
      <c r="AW45" s="102" t="str">
        <f t="shared" si="12"/>
        <v/>
      </c>
      <c r="AX45" s="102" t="str">
        <f t="shared" si="12"/>
        <v/>
      </c>
    </row>
    <row r="46" spans="1:50" ht="12.75" customHeight="1" x14ac:dyDescent="0.25">
      <c r="A46" s="6"/>
      <c r="B46" s="1" t="str">
        <f t="array" ref="B46">IFERROR(IF($B$3=Worksheet!$K$3,INDEX(Table43[EE Name],MATCH(0,COUNTIF($B$13:B45,Table43[EE Name]),0)),IF($B$3=Worksheet!$K$4,INDEX(Table4312[EE Name],MATCH(0,COUNTIF($B$13:B45,Table4312[EE Name]),0)),IF($B$3=Worksheet!$K$2,INDEX(ESDPosition[EE Name],MATCH(0,COUNTIF($B$13:B45,ESDPosition[EE Name]),0)),IF($B$3=Worksheet!$K$5,INDEX(DAYPosition[EE Name],MATCH(0,COUNTIF($B$13:B45,DAYPosition[EE Name]),0)),"")))),"")</f>
        <v/>
      </c>
      <c r="C46" s="1"/>
      <c r="D46" s="64">
        <f>IF(Table54[[#This Row],[Name]]=Table54[[#This Row],[Name]],COUNTIF($E$4:E46,Table54[[#This Row],[Name]]),"")</f>
        <v>43</v>
      </c>
      <c r="E46" s="49" t="str">
        <f>IF(Table54[[#This Row],[FN]]=0,"",CONCATENATE(Table54[[#This Row],[FN]]," ",Table54[[#This Row],[LN]]))</f>
        <v/>
      </c>
      <c r="F46" s="90"/>
      <c r="G46" s="90"/>
      <c r="H46" s="90"/>
      <c r="J46" s="53" t="str">
        <f>IFERROR(INDEX(Table54[Name],_xlfn.AGGREGATE(15,6,(ROW(Table54[Name])-MIN(ROW(Table54[Name]))+1)/(Table54[Name]&lt;&gt;"")/(ISNA(MATCH(Table54[Name],$J$3:J45,0))),1)),"")</f>
        <v/>
      </c>
      <c r="K46" s="44">
        <f t="shared" si="9"/>
        <v>0</v>
      </c>
      <c r="L46" s="44">
        <f t="shared" si="9"/>
        <v>0</v>
      </c>
      <c r="M46" s="44">
        <f t="shared" si="9"/>
        <v>0</v>
      </c>
      <c r="N46" s="44">
        <f t="shared" si="9"/>
        <v>0</v>
      </c>
      <c r="P46" s="49" t="str">
        <f>IF(MONEEInfo[[#This Row],[FN]]=0,"",CONCATENATE(MONEEInfo[[#This Row],[FN]]," ",MONEEInfo[[#This Row],[LN]]))</f>
        <v/>
      </c>
      <c r="Q46" s="49"/>
      <c r="R46" s="49"/>
      <c r="S46" s="49"/>
      <c r="U46" s="53" t="str">
        <f>IFERROR(INDEX(MONEEInfo[Name],_xlfn.AGGREGATE(15,6,(ROW(MONEEInfo[Name])-MIN(ROW(MONEEInfo[Name]))+1)/(MONEEInfo[Name]&lt;&gt;"")/(ISNA(MATCH(MONEEInfo[Name],$U$3:U45,0))),1)),"")</f>
        <v/>
      </c>
      <c r="V46" s="44">
        <f t="shared" si="10"/>
        <v>0</v>
      </c>
      <c r="W46" s="44">
        <f t="shared" si="10"/>
        <v>0</v>
      </c>
      <c r="X46" s="44">
        <f t="shared" si="10"/>
        <v>0</v>
      </c>
      <c r="Y46" s="44">
        <f t="shared" si="10"/>
        <v>0</v>
      </c>
      <c r="AA46" s="49" t="str">
        <f>IF(ESDEEInfo[[#This Row],[FN]]=0,"",CONCATENATE(ESDEEInfo[[#This Row],[FN]]," ",ESDEEInfo[[#This Row],[LN]]))</f>
        <v/>
      </c>
      <c r="AB46" s="49"/>
      <c r="AC46" s="49"/>
      <c r="AD46" s="49"/>
      <c r="AF46" s="53" t="str">
        <f>IFERROR(INDEX(ESDEEInfo[Name],_xlfn.AGGREGATE(15,6,(ROW(ESDEEInfo[Name])-MIN(ROW(ESDEEInfo[Name]))+1)/(ESDEEInfo[Name]&lt;&gt;"")/(ISNA(MATCH(ESDEEInfo[Name],$AF$3:AF45,0))),1)),"")</f>
        <v/>
      </c>
      <c r="AG46" s="44">
        <f t="shared" si="11"/>
        <v>0</v>
      </c>
      <c r="AH46" s="44">
        <f t="shared" si="11"/>
        <v>0</v>
      </c>
      <c r="AI46" s="44">
        <f t="shared" si="11"/>
        <v>0</v>
      </c>
      <c r="AJ46" s="44">
        <f t="shared" si="11"/>
        <v>0</v>
      </c>
      <c r="AL46" s="49" t="str">
        <f>IF(DAYEEInfo[[#This Row],[FN]]=0,"",CONCATENATE(DAYEEInfo[[#This Row],[FN]]," ",DAYEEInfo[[#This Row],[LN]]))</f>
        <v xml:space="preserve"> </v>
      </c>
      <c r="AM46" s="49" t="s">
        <v>114</v>
      </c>
      <c r="AN46" s="49" t="s">
        <v>114</v>
      </c>
      <c r="AO46" s="49" t="s">
        <v>114</v>
      </c>
      <c r="AQ46" s="53" t="str">
        <f t="array" ref="AQ46">IFERROR(INDEX(DAYEEInfo[Name],_xlfn.AGGREGATE(15,6,(ROW(DAYEEInfo[Name])-MIN(ROW(DAYEEInfo[Name]))+1)/(DAYEEInfo[Name]&lt;&gt;"")/(ISNA(MATCH(DAYEEInfo[Name],$AQ$3:AQ45,0))),1)),"")</f>
        <v/>
      </c>
      <c r="AR46" s="44" t="str">
        <f t="shared" si="12"/>
        <v/>
      </c>
      <c r="AS46" s="44" t="str">
        <f t="shared" si="12"/>
        <v/>
      </c>
      <c r="AT46" s="44" t="str">
        <f t="shared" si="12"/>
        <v/>
      </c>
      <c r="AU46" s="44" t="str">
        <f t="shared" si="12"/>
        <v/>
      </c>
      <c r="AV46" s="102" t="str">
        <f t="shared" si="12"/>
        <v/>
      </c>
      <c r="AW46" s="102" t="str">
        <f t="shared" si="12"/>
        <v/>
      </c>
      <c r="AX46" s="102" t="str">
        <f t="shared" si="12"/>
        <v/>
      </c>
    </row>
    <row r="47" spans="1:50" ht="12.75" customHeight="1" x14ac:dyDescent="0.25">
      <c r="A47" s="6"/>
      <c r="B47" s="1" t="str">
        <f t="array" ref="B47">IFERROR(IF($B$3=Worksheet!$K$3,INDEX(Table43[EE Name],MATCH(0,COUNTIF($B$13:B46,Table43[EE Name]),0)),IF($B$3=Worksheet!$K$4,INDEX(Table4312[EE Name],MATCH(0,COUNTIF($B$13:B46,Table4312[EE Name]),0)),IF($B$3=Worksheet!$K$2,INDEX(ESDPosition[EE Name],MATCH(0,COUNTIF($B$13:B46,ESDPosition[EE Name]),0)),IF($B$3=Worksheet!$K$5,INDEX(DAYPosition[EE Name],MATCH(0,COUNTIF($B$13:B46,DAYPosition[EE Name]),0)),"")))),"")</f>
        <v/>
      </c>
      <c r="C47" s="1"/>
      <c r="D47" s="64">
        <f>IF(Table54[[#This Row],[Name]]=Table54[[#This Row],[Name]],COUNTIF($E$4:E47,Table54[[#This Row],[Name]]),"")</f>
        <v>44</v>
      </c>
      <c r="E47" s="49" t="str">
        <f>IF(Table54[[#This Row],[FN]]=0,"",CONCATENATE(Table54[[#This Row],[FN]]," ",Table54[[#This Row],[LN]]))</f>
        <v/>
      </c>
      <c r="F47" s="90"/>
      <c r="G47" s="90"/>
      <c r="H47" s="90"/>
      <c r="J47" s="53" t="str">
        <f>IFERROR(INDEX(Table54[Name],_xlfn.AGGREGATE(15,6,(ROW(Table54[Name])-MIN(ROW(Table54[Name]))+1)/(Table54[Name]&lt;&gt;"")/(ISNA(MATCH(Table54[Name],$J$3:J46,0))),1)),"")</f>
        <v/>
      </c>
      <c r="K47" s="44">
        <f t="shared" si="9"/>
        <v>0</v>
      </c>
      <c r="L47" s="44">
        <f t="shared" si="9"/>
        <v>0</v>
      </c>
      <c r="M47" s="44">
        <f t="shared" si="9"/>
        <v>0</v>
      </c>
      <c r="N47" s="44">
        <f t="shared" si="9"/>
        <v>0</v>
      </c>
      <c r="P47" s="49" t="str">
        <f>IF(MONEEInfo[[#This Row],[FN]]=0,"",CONCATENATE(MONEEInfo[[#This Row],[FN]]," ",MONEEInfo[[#This Row],[LN]]))</f>
        <v/>
      </c>
      <c r="Q47" s="49"/>
      <c r="R47" s="49"/>
      <c r="S47" s="49"/>
      <c r="U47" s="53" t="str">
        <f>IFERROR(INDEX(MONEEInfo[Name],_xlfn.AGGREGATE(15,6,(ROW(MONEEInfo[Name])-MIN(ROW(MONEEInfo[Name]))+1)/(MONEEInfo[Name]&lt;&gt;"")/(ISNA(MATCH(MONEEInfo[Name],$U$3:U46,0))),1)),"")</f>
        <v/>
      </c>
      <c r="V47" s="44">
        <f t="shared" si="10"/>
        <v>0</v>
      </c>
      <c r="W47" s="44">
        <f t="shared" si="10"/>
        <v>0</v>
      </c>
      <c r="X47" s="44">
        <f t="shared" si="10"/>
        <v>0</v>
      </c>
      <c r="Y47" s="44">
        <f t="shared" si="10"/>
        <v>0</v>
      </c>
      <c r="AA47" s="49" t="str">
        <f>IF(ESDEEInfo[[#This Row],[FN]]=0,"",CONCATENATE(ESDEEInfo[[#This Row],[FN]]," ",ESDEEInfo[[#This Row],[LN]]))</f>
        <v/>
      </c>
      <c r="AB47" s="49"/>
      <c r="AC47" s="49"/>
      <c r="AD47" s="49"/>
      <c r="AF47" s="53" t="str">
        <f>IFERROR(INDEX(ESDEEInfo[Name],_xlfn.AGGREGATE(15,6,(ROW(ESDEEInfo[Name])-MIN(ROW(ESDEEInfo[Name]))+1)/(ESDEEInfo[Name]&lt;&gt;"")/(ISNA(MATCH(ESDEEInfo[Name],$AF$3:AF46,0))),1)),"")</f>
        <v/>
      </c>
      <c r="AG47" s="44">
        <f t="shared" si="11"/>
        <v>0</v>
      </c>
      <c r="AH47" s="44">
        <f t="shared" si="11"/>
        <v>0</v>
      </c>
      <c r="AI47" s="44">
        <f t="shared" si="11"/>
        <v>0</v>
      </c>
      <c r="AJ47" s="44">
        <f t="shared" si="11"/>
        <v>0</v>
      </c>
      <c r="AL47" s="49" t="str">
        <f>IF(DAYEEInfo[[#This Row],[FN]]=0,"",CONCATENATE(DAYEEInfo[[#This Row],[FN]]," ",DAYEEInfo[[#This Row],[LN]]))</f>
        <v xml:space="preserve"> </v>
      </c>
      <c r="AM47" s="49" t="s">
        <v>114</v>
      </c>
      <c r="AN47" s="49" t="s">
        <v>114</v>
      </c>
      <c r="AO47" s="49" t="s">
        <v>114</v>
      </c>
      <c r="AQ47" s="53" t="str">
        <f t="array" ref="AQ47">IFERROR(INDEX(DAYEEInfo[Name],_xlfn.AGGREGATE(15,6,(ROW(DAYEEInfo[Name])-MIN(ROW(DAYEEInfo[Name]))+1)/(DAYEEInfo[Name]&lt;&gt;"")/(ISNA(MATCH(DAYEEInfo[Name],$AQ$3:AQ46,0))),1)),"")</f>
        <v/>
      </c>
      <c r="AR47" s="44" t="str">
        <f t="shared" si="12"/>
        <v/>
      </c>
      <c r="AS47" s="44" t="str">
        <f t="shared" si="12"/>
        <v/>
      </c>
      <c r="AT47" s="44" t="str">
        <f t="shared" si="12"/>
        <v/>
      </c>
      <c r="AU47" s="44" t="str">
        <f t="shared" si="12"/>
        <v/>
      </c>
      <c r="AV47" s="102" t="str">
        <f t="shared" si="12"/>
        <v/>
      </c>
      <c r="AW47" s="102" t="str">
        <f t="shared" si="12"/>
        <v/>
      </c>
      <c r="AX47" s="102" t="str">
        <f t="shared" si="12"/>
        <v/>
      </c>
    </row>
    <row r="48" spans="1:50" ht="12.75" customHeight="1" x14ac:dyDescent="0.25">
      <c r="A48" s="6"/>
      <c r="B48" s="1" t="str">
        <f t="array" ref="B48">IFERROR(IF($B$3=Worksheet!$K$3,INDEX(Table43[EE Name],MATCH(0,COUNTIF($B$13:B47,Table43[EE Name]),0)),IF($B$3=Worksheet!$K$4,INDEX(Table4312[EE Name],MATCH(0,COUNTIF($B$13:B47,Table4312[EE Name]),0)),IF($B$3=Worksheet!$K$2,INDEX(ESDPosition[EE Name],MATCH(0,COUNTIF($B$13:B47,ESDPosition[EE Name]),0)),IF($B$3=Worksheet!$K$5,INDEX(DAYPosition[EE Name],MATCH(0,COUNTIF($B$13:B47,DAYPosition[EE Name]),0)),"")))),"")</f>
        <v/>
      </c>
      <c r="C48" s="1"/>
      <c r="D48" s="64">
        <f>IF(Table54[[#This Row],[Name]]=Table54[[#This Row],[Name]],COUNTIF($E$4:E48,Table54[[#This Row],[Name]]),"")</f>
        <v>45</v>
      </c>
      <c r="E48" s="49" t="str">
        <f>IF(Table54[[#This Row],[FN]]=0,"",CONCATENATE(Table54[[#This Row],[FN]]," ",Table54[[#This Row],[LN]]))</f>
        <v/>
      </c>
      <c r="F48" s="90"/>
      <c r="G48" s="90"/>
      <c r="H48" s="90"/>
      <c r="J48" s="53" t="str">
        <f>IFERROR(INDEX(Table54[Name],_xlfn.AGGREGATE(15,6,(ROW(Table54[Name])-MIN(ROW(Table54[Name]))+1)/(Table54[Name]&lt;&gt;"")/(ISNA(MATCH(Table54[Name],$J$3:J47,0))),1)),"")</f>
        <v/>
      </c>
      <c r="K48" s="44">
        <f t="shared" si="9"/>
        <v>0</v>
      </c>
      <c r="L48" s="44">
        <f t="shared" si="9"/>
        <v>0</v>
      </c>
      <c r="M48" s="44">
        <f t="shared" si="9"/>
        <v>0</v>
      </c>
      <c r="N48" s="44">
        <f t="shared" si="9"/>
        <v>0</v>
      </c>
      <c r="P48" s="49" t="str">
        <f>IF(MONEEInfo[[#This Row],[FN]]=0,"",CONCATENATE(MONEEInfo[[#This Row],[FN]]," ",MONEEInfo[[#This Row],[LN]]))</f>
        <v/>
      </c>
      <c r="Q48" s="49"/>
      <c r="R48" s="49"/>
      <c r="S48" s="49"/>
      <c r="U48" s="53" t="str">
        <f>IFERROR(INDEX(MONEEInfo[Name],_xlfn.AGGREGATE(15,6,(ROW(MONEEInfo[Name])-MIN(ROW(MONEEInfo[Name]))+1)/(MONEEInfo[Name]&lt;&gt;"")/(ISNA(MATCH(MONEEInfo[Name],$U$3:U47,0))),1)),"")</f>
        <v/>
      </c>
      <c r="V48" s="44">
        <f t="shared" si="10"/>
        <v>0</v>
      </c>
      <c r="W48" s="44">
        <f t="shared" si="10"/>
        <v>0</v>
      </c>
      <c r="X48" s="44">
        <f t="shared" si="10"/>
        <v>0</v>
      </c>
      <c r="Y48" s="44">
        <f t="shared" si="10"/>
        <v>0</v>
      </c>
      <c r="AA48" s="49" t="str">
        <f>IF(ESDEEInfo[[#This Row],[FN]]=0,"",CONCATENATE(ESDEEInfo[[#This Row],[FN]]," ",ESDEEInfo[[#This Row],[LN]]))</f>
        <v/>
      </c>
      <c r="AB48" s="49"/>
      <c r="AC48" s="49"/>
      <c r="AD48" s="49"/>
      <c r="AF48" s="53" t="str">
        <f>IFERROR(INDEX(ESDEEInfo[Name],_xlfn.AGGREGATE(15,6,(ROW(ESDEEInfo[Name])-MIN(ROW(ESDEEInfo[Name]))+1)/(ESDEEInfo[Name]&lt;&gt;"")/(ISNA(MATCH(ESDEEInfo[Name],$AF$3:AF47,0))),1)),"")</f>
        <v/>
      </c>
      <c r="AG48" s="44">
        <f t="shared" si="11"/>
        <v>0</v>
      </c>
      <c r="AH48" s="44">
        <f t="shared" si="11"/>
        <v>0</v>
      </c>
      <c r="AI48" s="44">
        <f t="shared" si="11"/>
        <v>0</v>
      </c>
      <c r="AJ48" s="44">
        <f t="shared" si="11"/>
        <v>0</v>
      </c>
      <c r="AL48" s="49" t="str">
        <f>IF(DAYEEInfo[[#This Row],[FN]]=0,"",CONCATENATE(DAYEEInfo[[#This Row],[FN]]," ",DAYEEInfo[[#This Row],[LN]]))</f>
        <v xml:space="preserve"> </v>
      </c>
      <c r="AM48" s="49" t="s">
        <v>114</v>
      </c>
      <c r="AN48" s="49" t="s">
        <v>114</v>
      </c>
      <c r="AO48" s="49" t="s">
        <v>114</v>
      </c>
      <c r="AQ48" s="53" t="str">
        <f t="array" ref="AQ48">IFERROR(INDEX(DAYEEInfo[Name],_xlfn.AGGREGATE(15,6,(ROW(DAYEEInfo[Name])-MIN(ROW(DAYEEInfo[Name]))+1)/(DAYEEInfo[Name]&lt;&gt;"")/(ISNA(MATCH(DAYEEInfo[Name],$AQ$3:AQ47,0))),1)),"")</f>
        <v/>
      </c>
      <c r="AR48" s="44" t="str">
        <f t="shared" si="12"/>
        <v/>
      </c>
      <c r="AS48" s="44" t="str">
        <f t="shared" si="12"/>
        <v/>
      </c>
      <c r="AT48" s="44" t="str">
        <f t="shared" si="12"/>
        <v/>
      </c>
      <c r="AU48" s="44" t="str">
        <f t="shared" si="12"/>
        <v/>
      </c>
      <c r="AV48" s="102" t="str">
        <f t="shared" si="12"/>
        <v/>
      </c>
      <c r="AW48" s="102" t="str">
        <f t="shared" si="12"/>
        <v/>
      </c>
      <c r="AX48" s="102" t="str">
        <f t="shared" si="12"/>
        <v/>
      </c>
    </row>
    <row r="49" spans="1:50" ht="12.75" customHeight="1" x14ac:dyDescent="0.25">
      <c r="A49" s="6"/>
      <c r="B49" s="1" t="str">
        <f t="array" ref="B49">IFERROR(IF($B$3=Worksheet!$K$3,INDEX(Table43[EE Name],MATCH(0,COUNTIF($B$13:B48,Table43[EE Name]),0)),IF($B$3=Worksheet!$K$4,INDEX(Table4312[EE Name],MATCH(0,COUNTIF($B$13:B48,Table4312[EE Name]),0)),IF($B$3=Worksheet!$K$2,INDEX(ESDPosition[EE Name],MATCH(0,COUNTIF($B$13:B48,ESDPosition[EE Name]),0)),IF($B$3=Worksheet!$K$5,INDEX(DAYPosition[EE Name],MATCH(0,COUNTIF($B$13:B48,DAYPosition[EE Name]),0)),"")))),"")</f>
        <v/>
      </c>
      <c r="C49" s="1"/>
      <c r="D49" s="64">
        <f>IF(Table54[[#This Row],[Name]]=Table54[[#This Row],[Name]],COUNTIF($E$4:E49,Table54[[#This Row],[Name]]),"")</f>
        <v>46</v>
      </c>
      <c r="E49" s="49" t="str">
        <f>IF(Table54[[#This Row],[FN]]=0,"",CONCATENATE(Table54[[#This Row],[FN]]," ",Table54[[#This Row],[LN]]))</f>
        <v/>
      </c>
      <c r="F49" s="90"/>
      <c r="G49" s="90"/>
      <c r="H49" s="90"/>
      <c r="J49" s="53" t="str">
        <f>IFERROR(INDEX(Table54[Name],_xlfn.AGGREGATE(15,6,(ROW(Table54[Name])-MIN(ROW(Table54[Name]))+1)/(Table54[Name]&lt;&gt;"")/(ISNA(MATCH(Table54[Name],$J$3:J48,0))),1)),"")</f>
        <v/>
      </c>
      <c r="K49" s="44">
        <f t="shared" si="9"/>
        <v>0</v>
      </c>
      <c r="L49" s="44">
        <f t="shared" si="9"/>
        <v>0</v>
      </c>
      <c r="M49" s="44">
        <f t="shared" si="9"/>
        <v>0</v>
      </c>
      <c r="N49" s="44">
        <f t="shared" si="9"/>
        <v>0</v>
      </c>
      <c r="P49" s="49" t="str">
        <f>IF(MONEEInfo[[#This Row],[FN]]=0,"",CONCATENATE(MONEEInfo[[#This Row],[FN]]," ",MONEEInfo[[#This Row],[LN]]))</f>
        <v/>
      </c>
      <c r="Q49" s="49"/>
      <c r="R49" s="49"/>
      <c r="S49" s="49"/>
      <c r="U49" s="53" t="str">
        <f>IFERROR(INDEX(MONEEInfo[Name],_xlfn.AGGREGATE(15,6,(ROW(MONEEInfo[Name])-MIN(ROW(MONEEInfo[Name]))+1)/(MONEEInfo[Name]&lt;&gt;"")/(ISNA(MATCH(MONEEInfo[Name],$U$3:U48,0))),1)),"")</f>
        <v/>
      </c>
      <c r="V49" s="44">
        <f t="shared" si="10"/>
        <v>0</v>
      </c>
      <c r="W49" s="44">
        <f t="shared" si="10"/>
        <v>0</v>
      </c>
      <c r="X49" s="44">
        <f t="shared" si="10"/>
        <v>0</v>
      </c>
      <c r="Y49" s="44">
        <f t="shared" si="10"/>
        <v>0</v>
      </c>
      <c r="AA49" s="49" t="str">
        <f>IF(ESDEEInfo[[#This Row],[FN]]=0,"",CONCATENATE(ESDEEInfo[[#This Row],[FN]]," ",ESDEEInfo[[#This Row],[LN]]))</f>
        <v/>
      </c>
      <c r="AB49" s="49"/>
      <c r="AC49" s="49"/>
      <c r="AD49" s="49"/>
      <c r="AF49" s="53" t="str">
        <f>IFERROR(INDEX(ESDEEInfo[Name],_xlfn.AGGREGATE(15,6,(ROW(ESDEEInfo[Name])-MIN(ROW(ESDEEInfo[Name]))+1)/(ESDEEInfo[Name]&lt;&gt;"")/(ISNA(MATCH(ESDEEInfo[Name],$AF$3:AF48,0))),1)),"")</f>
        <v/>
      </c>
      <c r="AG49" s="44">
        <f t="shared" si="11"/>
        <v>0</v>
      </c>
      <c r="AH49" s="44">
        <f t="shared" si="11"/>
        <v>0</v>
      </c>
      <c r="AI49" s="44">
        <f t="shared" si="11"/>
        <v>0</v>
      </c>
      <c r="AJ49" s="44">
        <f t="shared" si="11"/>
        <v>0</v>
      </c>
      <c r="AL49" s="49" t="str">
        <f>IF(DAYEEInfo[[#This Row],[FN]]=0,"",CONCATENATE(DAYEEInfo[[#This Row],[FN]]," ",DAYEEInfo[[#This Row],[LN]]))</f>
        <v xml:space="preserve"> </v>
      </c>
      <c r="AM49" s="49" t="s">
        <v>114</v>
      </c>
      <c r="AN49" s="49" t="s">
        <v>114</v>
      </c>
      <c r="AO49" s="49" t="s">
        <v>114</v>
      </c>
      <c r="AQ49" s="53" t="str">
        <f t="array" ref="AQ49">IFERROR(INDEX(DAYEEInfo[Name],_xlfn.AGGREGATE(15,6,(ROW(DAYEEInfo[Name])-MIN(ROW(DAYEEInfo[Name]))+1)/(DAYEEInfo[Name]&lt;&gt;"")/(ISNA(MATCH(DAYEEInfo[Name],$AQ$3:AQ48,0))),1)),"")</f>
        <v/>
      </c>
      <c r="AR49" s="44" t="str">
        <f t="shared" si="12"/>
        <v/>
      </c>
      <c r="AS49" s="44" t="str">
        <f t="shared" si="12"/>
        <v/>
      </c>
      <c r="AT49" s="44" t="str">
        <f t="shared" si="12"/>
        <v/>
      </c>
      <c r="AU49" s="44" t="str">
        <f t="shared" si="12"/>
        <v/>
      </c>
      <c r="AV49" s="102" t="str">
        <f t="shared" si="12"/>
        <v/>
      </c>
      <c r="AW49" s="102" t="str">
        <f t="shared" si="12"/>
        <v/>
      </c>
      <c r="AX49" s="102" t="str">
        <f t="shared" si="12"/>
        <v/>
      </c>
    </row>
    <row r="50" spans="1:50" ht="12.75" customHeight="1" x14ac:dyDescent="0.25">
      <c r="A50" s="6"/>
      <c r="B50" s="1" t="str">
        <f t="array" ref="B50">IFERROR(IF($B$3=Worksheet!$K$3,INDEX(Table43[EE Name],MATCH(0,COUNTIF($B$13:B49,Table43[EE Name]),0)),IF($B$3=Worksheet!$K$4,INDEX(Table4312[EE Name],MATCH(0,COUNTIF($B$13:B49,Table4312[EE Name]),0)),IF($B$3=Worksheet!$K$2,INDEX(ESDPosition[EE Name],MATCH(0,COUNTIF($B$13:B49,ESDPosition[EE Name]),0)),IF($B$3=Worksheet!$K$5,INDEX(DAYPosition[EE Name],MATCH(0,COUNTIF($B$13:B49,DAYPosition[EE Name]),0)),"")))),"")</f>
        <v/>
      </c>
      <c r="C50" s="1"/>
      <c r="D50" s="64">
        <f>IF(Table54[[#This Row],[Name]]=Table54[[#This Row],[Name]],COUNTIF($E$4:E50,Table54[[#This Row],[Name]]),"")</f>
        <v>47</v>
      </c>
      <c r="E50" s="49" t="str">
        <f>IF(Table54[[#This Row],[FN]]=0,"",CONCATENATE(Table54[[#This Row],[FN]]," ",Table54[[#This Row],[LN]]))</f>
        <v/>
      </c>
      <c r="F50" s="90"/>
      <c r="G50" s="90"/>
      <c r="H50" s="90"/>
      <c r="J50" s="53" t="str">
        <f>IFERROR(INDEX(Table54[Name],_xlfn.AGGREGATE(15,6,(ROW(Table54[Name])-MIN(ROW(Table54[Name]))+1)/(Table54[Name]&lt;&gt;"")/(ISNA(MATCH(Table54[Name],$J$3:J49,0))),1)),"")</f>
        <v/>
      </c>
      <c r="K50" s="44">
        <f t="shared" si="9"/>
        <v>0</v>
      </c>
      <c r="L50" s="44">
        <f t="shared" si="9"/>
        <v>0</v>
      </c>
      <c r="M50" s="44">
        <f t="shared" si="9"/>
        <v>0</v>
      </c>
      <c r="N50" s="44">
        <f t="shared" si="9"/>
        <v>0</v>
      </c>
      <c r="P50" s="49" t="str">
        <f>IF(MONEEInfo[[#This Row],[FN]]=0,"",CONCATENATE(MONEEInfo[[#This Row],[FN]]," ",MONEEInfo[[#This Row],[LN]]))</f>
        <v/>
      </c>
      <c r="Q50" s="49"/>
      <c r="R50" s="49"/>
      <c r="S50" s="49"/>
      <c r="U50" s="53" t="str">
        <f>IFERROR(INDEX(MONEEInfo[Name],_xlfn.AGGREGATE(15,6,(ROW(MONEEInfo[Name])-MIN(ROW(MONEEInfo[Name]))+1)/(MONEEInfo[Name]&lt;&gt;"")/(ISNA(MATCH(MONEEInfo[Name],$U$3:U49,0))),1)),"")</f>
        <v/>
      </c>
      <c r="V50" s="44">
        <f t="shared" si="10"/>
        <v>0</v>
      </c>
      <c r="W50" s="44">
        <f t="shared" si="10"/>
        <v>0</v>
      </c>
      <c r="X50" s="44">
        <f t="shared" si="10"/>
        <v>0</v>
      </c>
      <c r="Y50" s="44">
        <f t="shared" si="10"/>
        <v>0</v>
      </c>
      <c r="AA50" s="49" t="str">
        <f>IF(ESDEEInfo[[#This Row],[FN]]=0,"",CONCATENATE(ESDEEInfo[[#This Row],[FN]]," ",ESDEEInfo[[#This Row],[LN]]))</f>
        <v/>
      </c>
      <c r="AB50" s="49"/>
      <c r="AC50" s="49"/>
      <c r="AD50" s="49"/>
      <c r="AF50" s="53" t="str">
        <f>IFERROR(INDEX(ESDEEInfo[Name],_xlfn.AGGREGATE(15,6,(ROW(ESDEEInfo[Name])-MIN(ROW(ESDEEInfo[Name]))+1)/(ESDEEInfo[Name]&lt;&gt;"")/(ISNA(MATCH(ESDEEInfo[Name],$AF$3:AF49,0))),1)),"")</f>
        <v/>
      </c>
      <c r="AG50" s="44">
        <f t="shared" si="11"/>
        <v>0</v>
      </c>
      <c r="AH50" s="44">
        <f t="shared" si="11"/>
        <v>0</v>
      </c>
      <c r="AI50" s="44">
        <f t="shared" si="11"/>
        <v>0</v>
      </c>
      <c r="AJ50" s="44">
        <f t="shared" si="11"/>
        <v>0</v>
      </c>
      <c r="AL50" s="49" t="str">
        <f>IF(DAYEEInfo[[#This Row],[FN]]=0,"",CONCATENATE(DAYEEInfo[[#This Row],[FN]]," ",DAYEEInfo[[#This Row],[LN]]))</f>
        <v xml:space="preserve"> </v>
      </c>
      <c r="AM50" s="49" t="s">
        <v>114</v>
      </c>
      <c r="AN50" s="49" t="s">
        <v>114</v>
      </c>
      <c r="AO50" s="49" t="s">
        <v>114</v>
      </c>
      <c r="AQ50" s="53" t="str">
        <f t="array" ref="AQ50">IFERROR(INDEX(DAYEEInfo[Name],_xlfn.AGGREGATE(15,6,(ROW(DAYEEInfo[Name])-MIN(ROW(DAYEEInfo[Name]))+1)/(DAYEEInfo[Name]&lt;&gt;"")/(ISNA(MATCH(DAYEEInfo[Name],$AQ$3:AQ49,0))),1)),"")</f>
        <v/>
      </c>
      <c r="AR50" s="44" t="str">
        <f t="shared" si="12"/>
        <v/>
      </c>
      <c r="AS50" s="44" t="str">
        <f t="shared" si="12"/>
        <v/>
      </c>
      <c r="AT50" s="44" t="str">
        <f t="shared" si="12"/>
        <v/>
      </c>
      <c r="AU50" s="44" t="str">
        <f t="shared" si="12"/>
        <v/>
      </c>
      <c r="AV50" s="102" t="str">
        <f t="shared" si="12"/>
        <v/>
      </c>
      <c r="AW50" s="102" t="str">
        <f t="shared" si="12"/>
        <v/>
      </c>
      <c r="AX50" s="102" t="str">
        <f t="shared" si="12"/>
        <v/>
      </c>
    </row>
    <row r="51" spans="1:50" ht="15" x14ac:dyDescent="0.25">
      <c r="A51" s="6"/>
      <c r="B51" s="1" t="str">
        <f t="array" ref="B51">IFERROR(IF($B$3=Worksheet!$K$3,INDEX(Table43[EE Name],MATCH(0,COUNTIF($B$13:B50,Table43[EE Name]),0)),IF($B$3=Worksheet!$K$4,INDEX(Table4312[EE Name],MATCH(0,COUNTIF($B$13:B50,Table4312[EE Name]),0)),IF($B$3=Worksheet!$K$2,INDEX(ESDPosition[EE Name],MATCH(0,COUNTIF($B$13:B50,ESDPosition[EE Name]),0)),IF($B$3=Worksheet!$K$5,INDEX(DAYPosition[EE Name],MATCH(0,COUNTIF($B$13:B50,DAYPosition[EE Name]),0)),"")))),"")</f>
        <v/>
      </c>
      <c r="C51" s="1"/>
      <c r="D51" s="64">
        <f>IF(Table54[[#This Row],[Name]]=Table54[[#This Row],[Name]],COUNTIF($E$4:E51,Table54[[#This Row],[Name]]),"")</f>
        <v>48</v>
      </c>
      <c r="E51" s="49" t="str">
        <f>IF(Table54[[#This Row],[FN]]=0,"",CONCATENATE(Table54[[#This Row],[FN]]," ",Table54[[#This Row],[LN]]))</f>
        <v/>
      </c>
      <c r="F51" s="90"/>
      <c r="G51" s="90"/>
      <c r="H51" s="90"/>
      <c r="J51" s="53" t="str">
        <f>IFERROR(INDEX(Table54[Name],_xlfn.AGGREGATE(15,6,(ROW(Table54[Name])-MIN(ROW(Table54[Name]))+1)/(Table54[Name]&lt;&gt;"")/(ISNA(MATCH(Table54[Name],$J$3:J50,0))),1)),"")</f>
        <v/>
      </c>
      <c r="K51" s="44">
        <f t="shared" si="9"/>
        <v>0</v>
      </c>
      <c r="L51" s="44">
        <f t="shared" si="9"/>
        <v>0</v>
      </c>
      <c r="M51" s="44">
        <f t="shared" si="9"/>
        <v>0</v>
      </c>
      <c r="N51" s="44">
        <f t="shared" si="9"/>
        <v>0</v>
      </c>
      <c r="P51" s="49" t="str">
        <f>IF(MONEEInfo[[#This Row],[FN]]=0,"",CONCATENATE(MONEEInfo[[#This Row],[FN]]," ",MONEEInfo[[#This Row],[LN]]))</f>
        <v/>
      </c>
      <c r="Q51" s="49"/>
      <c r="R51" s="49"/>
      <c r="S51" s="49"/>
      <c r="U51" s="53" t="str">
        <f>IFERROR(INDEX(MONEEInfo[Name],_xlfn.AGGREGATE(15,6,(ROW(MONEEInfo[Name])-MIN(ROW(MONEEInfo[Name]))+1)/(MONEEInfo[Name]&lt;&gt;"")/(ISNA(MATCH(MONEEInfo[Name],$U$3:U50,0))),1)),"")</f>
        <v/>
      </c>
      <c r="V51" s="44">
        <f t="shared" si="10"/>
        <v>0</v>
      </c>
      <c r="W51" s="44">
        <f t="shared" si="10"/>
        <v>0</v>
      </c>
      <c r="X51" s="44">
        <f t="shared" si="10"/>
        <v>0</v>
      </c>
      <c r="Y51" s="44">
        <f t="shared" si="10"/>
        <v>0</v>
      </c>
      <c r="AA51" s="49" t="str">
        <f>IF(ESDEEInfo[[#This Row],[FN]]=0,"",CONCATENATE(ESDEEInfo[[#This Row],[FN]]," ",ESDEEInfo[[#This Row],[LN]]))</f>
        <v/>
      </c>
      <c r="AB51" s="49"/>
      <c r="AC51" s="49"/>
      <c r="AD51" s="49"/>
      <c r="AF51" s="53" t="str">
        <f>IFERROR(INDEX(ESDEEInfo[Name],_xlfn.AGGREGATE(15,6,(ROW(ESDEEInfo[Name])-MIN(ROW(ESDEEInfo[Name]))+1)/(ESDEEInfo[Name]&lt;&gt;"")/(ISNA(MATCH(ESDEEInfo[Name],$AF$3:AF50,0))),1)),"")</f>
        <v/>
      </c>
      <c r="AG51" s="44">
        <f t="shared" si="11"/>
        <v>0</v>
      </c>
      <c r="AH51" s="44">
        <f t="shared" si="11"/>
        <v>0</v>
      </c>
      <c r="AI51" s="44">
        <f t="shared" si="11"/>
        <v>0</v>
      </c>
      <c r="AJ51" s="44">
        <f t="shared" si="11"/>
        <v>0</v>
      </c>
      <c r="AL51" s="49" t="str">
        <f>IF(DAYEEInfo[[#This Row],[FN]]=0,"",CONCATENATE(DAYEEInfo[[#This Row],[FN]]," ",DAYEEInfo[[#This Row],[LN]]))</f>
        <v xml:space="preserve"> </v>
      </c>
      <c r="AM51" s="49" t="s">
        <v>114</v>
      </c>
      <c r="AN51" s="49" t="s">
        <v>114</v>
      </c>
      <c r="AO51" s="49" t="s">
        <v>114</v>
      </c>
      <c r="AQ51" s="53" t="str">
        <f t="array" ref="AQ51">IFERROR(INDEX(DAYEEInfo[Name],_xlfn.AGGREGATE(15,6,(ROW(DAYEEInfo[Name])-MIN(ROW(DAYEEInfo[Name]))+1)/(DAYEEInfo[Name]&lt;&gt;"")/(ISNA(MATCH(DAYEEInfo[Name],$AQ$3:AQ50,0))),1)),"")</f>
        <v/>
      </c>
      <c r="AR51" s="44" t="str">
        <f t="shared" si="12"/>
        <v/>
      </c>
      <c r="AS51" s="44" t="str">
        <f t="shared" si="12"/>
        <v/>
      </c>
      <c r="AT51" s="44" t="str">
        <f t="shared" si="12"/>
        <v/>
      </c>
      <c r="AU51" s="44" t="str">
        <f t="shared" si="12"/>
        <v/>
      </c>
      <c r="AV51" s="102" t="str">
        <f t="shared" si="12"/>
        <v/>
      </c>
      <c r="AW51" s="102" t="str">
        <f t="shared" si="12"/>
        <v/>
      </c>
      <c r="AX51" s="102" t="str">
        <f t="shared" si="12"/>
        <v/>
      </c>
    </row>
    <row r="52" spans="1:50" ht="15" x14ac:dyDescent="0.25">
      <c r="A52" s="6"/>
      <c r="B52" s="1" t="str">
        <f t="array" ref="B52">IFERROR(IF($B$3=Worksheet!$K$3,INDEX(Table43[EE Name],MATCH(0,COUNTIF($B$13:B51,Table43[EE Name]),0)),IF($B$3=Worksheet!$K$4,INDEX(Table4312[EE Name],MATCH(0,COUNTIF($B$13:B51,Table4312[EE Name]),0)),IF($B$3=Worksheet!$K$2,INDEX(ESDPosition[EE Name],MATCH(0,COUNTIF($B$13:B51,ESDPosition[EE Name]),0)),IF($B$3=Worksheet!$K$5,INDEX(DAYPosition[EE Name],MATCH(0,COUNTIF($B$13:B51,DAYPosition[EE Name]),0)),"")))),"")</f>
        <v/>
      </c>
      <c r="C52" s="1"/>
      <c r="D52" s="64">
        <f>IF(Table54[[#This Row],[Name]]=Table54[[#This Row],[Name]],COUNTIF($E$4:E52,Table54[[#This Row],[Name]]),"")</f>
        <v>49</v>
      </c>
      <c r="E52" s="49" t="str">
        <f>IF(Table54[[#This Row],[FN]]=0,"",CONCATENATE(Table54[[#This Row],[FN]]," ",Table54[[#This Row],[LN]]))</f>
        <v/>
      </c>
      <c r="F52" s="90"/>
      <c r="G52" s="90"/>
      <c r="H52" s="90"/>
      <c r="J52" s="53" t="str">
        <f>IFERROR(INDEX(Table54[Name],_xlfn.AGGREGATE(15,6,(ROW(Table54[Name])-MIN(ROW(Table54[Name]))+1)/(Table54[Name]&lt;&gt;"")/(ISNA(MATCH(Table54[Name],$J$3:J51,0))),1)),"")</f>
        <v/>
      </c>
      <c r="K52" s="44">
        <f t="shared" si="9"/>
        <v>0</v>
      </c>
      <c r="L52" s="44">
        <f t="shared" si="9"/>
        <v>0</v>
      </c>
      <c r="M52" s="44">
        <f t="shared" si="9"/>
        <v>0</v>
      </c>
      <c r="N52" s="44">
        <f t="shared" si="9"/>
        <v>0</v>
      </c>
      <c r="P52" s="49" t="str">
        <f>IF(MONEEInfo[[#This Row],[FN]]=0,"",CONCATENATE(MONEEInfo[[#This Row],[FN]]," ",MONEEInfo[[#This Row],[LN]]))</f>
        <v/>
      </c>
      <c r="Q52" s="49"/>
      <c r="R52" s="49"/>
      <c r="S52" s="49"/>
      <c r="U52" s="53" t="str">
        <f>IFERROR(INDEX(MONEEInfo[Name],_xlfn.AGGREGATE(15,6,(ROW(MONEEInfo[Name])-MIN(ROW(MONEEInfo[Name]))+1)/(MONEEInfo[Name]&lt;&gt;"")/(ISNA(MATCH(MONEEInfo[Name],$U$3:U51,0))),1)),"")</f>
        <v/>
      </c>
      <c r="V52" s="44">
        <f t="shared" si="10"/>
        <v>0</v>
      </c>
      <c r="W52" s="44">
        <f t="shared" si="10"/>
        <v>0</v>
      </c>
      <c r="X52" s="44">
        <f t="shared" si="10"/>
        <v>0</v>
      </c>
      <c r="Y52" s="44">
        <f t="shared" si="10"/>
        <v>0</v>
      </c>
      <c r="AA52" s="49" t="str">
        <f>IF(ESDEEInfo[[#This Row],[FN]]=0,"",CONCATENATE(ESDEEInfo[[#This Row],[FN]]," ",ESDEEInfo[[#This Row],[LN]]))</f>
        <v/>
      </c>
      <c r="AB52" s="49"/>
      <c r="AC52" s="49"/>
      <c r="AD52" s="49"/>
      <c r="AF52" s="53" t="str">
        <f>IFERROR(INDEX(ESDEEInfo[Name],_xlfn.AGGREGATE(15,6,(ROW(ESDEEInfo[Name])-MIN(ROW(ESDEEInfo[Name]))+1)/(ESDEEInfo[Name]&lt;&gt;"")/(ISNA(MATCH(ESDEEInfo[Name],$AF$3:AF51,0))),1)),"")</f>
        <v/>
      </c>
      <c r="AG52" s="44">
        <f t="shared" si="11"/>
        <v>0</v>
      </c>
      <c r="AH52" s="44">
        <f t="shared" si="11"/>
        <v>0</v>
      </c>
      <c r="AI52" s="44">
        <f t="shared" si="11"/>
        <v>0</v>
      </c>
      <c r="AJ52" s="44">
        <f t="shared" si="11"/>
        <v>0</v>
      </c>
      <c r="AL52" s="49" t="str">
        <f>IF(DAYEEInfo[[#This Row],[FN]]=0,"",CONCATENATE(DAYEEInfo[[#This Row],[FN]]," ",DAYEEInfo[[#This Row],[LN]]))</f>
        <v xml:space="preserve"> </v>
      </c>
      <c r="AM52" s="49" t="s">
        <v>114</v>
      </c>
      <c r="AN52" s="49" t="s">
        <v>114</v>
      </c>
      <c r="AO52" s="49" t="s">
        <v>114</v>
      </c>
      <c r="AQ52" s="53" t="str">
        <f t="array" ref="AQ52">IFERROR(INDEX(DAYEEInfo[Name],_xlfn.AGGREGATE(15,6,(ROW(DAYEEInfo[Name])-MIN(ROW(DAYEEInfo[Name]))+1)/(DAYEEInfo[Name]&lt;&gt;"")/(ISNA(MATCH(DAYEEInfo[Name],$AQ$3:AQ51,0))),1)),"")</f>
        <v/>
      </c>
      <c r="AR52" s="44" t="str">
        <f t="shared" si="12"/>
        <v/>
      </c>
      <c r="AS52" s="44" t="str">
        <f t="shared" si="12"/>
        <v/>
      </c>
      <c r="AT52" s="44" t="str">
        <f t="shared" si="12"/>
        <v/>
      </c>
      <c r="AU52" s="44" t="str">
        <f t="shared" si="12"/>
        <v/>
      </c>
      <c r="AV52" s="102" t="str">
        <f t="shared" si="12"/>
        <v/>
      </c>
      <c r="AW52" s="102" t="str">
        <f t="shared" si="12"/>
        <v/>
      </c>
      <c r="AX52" s="102" t="str">
        <f t="shared" si="12"/>
        <v/>
      </c>
    </row>
    <row r="53" spans="1:50" ht="15" x14ac:dyDescent="0.25">
      <c r="A53" s="6"/>
      <c r="B53" s="1" t="str">
        <f t="array" ref="B53">IFERROR(IF($B$3=Worksheet!$K$3,INDEX(Table43[EE Name],MATCH(0,COUNTIF($B$13:B52,Table43[EE Name]),0)),IF($B$3=Worksheet!$K$4,INDEX(Table4312[EE Name],MATCH(0,COUNTIF($B$13:B52,Table4312[EE Name]),0)),IF($B$3=Worksheet!$K$2,INDEX(ESDPosition[EE Name],MATCH(0,COUNTIF($B$13:B52,ESDPosition[EE Name]),0)),IF($B$3=Worksheet!$K$5,INDEX(DAYPosition[EE Name],MATCH(0,COUNTIF($B$13:B52,DAYPosition[EE Name]),0)),"")))),"")</f>
        <v/>
      </c>
      <c r="C53" s="1"/>
      <c r="D53" s="64">
        <f>IF(Table54[[#This Row],[Name]]=Table54[[#This Row],[Name]],COUNTIF($E$4:E53,Table54[[#This Row],[Name]]),"")</f>
        <v>50</v>
      </c>
      <c r="E53" s="49" t="str">
        <f>IF(Table54[[#This Row],[FN]]=0,"",CONCATENATE(Table54[[#This Row],[FN]]," ",Table54[[#This Row],[LN]]))</f>
        <v/>
      </c>
      <c r="F53" s="90"/>
      <c r="G53" s="90"/>
      <c r="H53" s="90"/>
      <c r="J53" s="53" t="str">
        <f>IFERROR(INDEX(Table54[Name],_xlfn.AGGREGATE(15,6,(ROW(Table54[Name])-MIN(ROW(Table54[Name]))+1)/(Table54[Name]&lt;&gt;"")/(ISNA(MATCH(Table54[Name],$J$3:J52,0))),1)),"")</f>
        <v/>
      </c>
      <c r="K53" s="44">
        <f t="shared" si="9"/>
        <v>0</v>
      </c>
      <c r="L53" s="44">
        <f t="shared" si="9"/>
        <v>0</v>
      </c>
      <c r="M53" s="44">
        <f t="shared" si="9"/>
        <v>0</v>
      </c>
      <c r="N53" s="44">
        <f t="shared" si="9"/>
        <v>0</v>
      </c>
      <c r="P53" s="49" t="str">
        <f>IF(MONEEInfo[[#This Row],[FN]]=0,"",CONCATENATE(MONEEInfo[[#This Row],[FN]]," ",MONEEInfo[[#This Row],[LN]]))</f>
        <v/>
      </c>
      <c r="Q53" s="49"/>
      <c r="R53" s="49"/>
      <c r="S53" s="49"/>
      <c r="U53" s="53" t="str">
        <f>IFERROR(INDEX(MONEEInfo[Name],_xlfn.AGGREGATE(15,6,(ROW(MONEEInfo[Name])-MIN(ROW(MONEEInfo[Name]))+1)/(MONEEInfo[Name]&lt;&gt;"")/(ISNA(MATCH(MONEEInfo[Name],$U$3:U52,0))),1)),"")</f>
        <v/>
      </c>
      <c r="V53" s="44">
        <f t="shared" si="10"/>
        <v>0</v>
      </c>
      <c r="W53" s="44">
        <f t="shared" si="10"/>
        <v>0</v>
      </c>
      <c r="X53" s="44">
        <f t="shared" si="10"/>
        <v>0</v>
      </c>
      <c r="Y53" s="44">
        <f t="shared" si="10"/>
        <v>0</v>
      </c>
      <c r="AA53" s="49" t="str">
        <f>IF(ESDEEInfo[[#This Row],[FN]]=0,"",CONCATENATE(ESDEEInfo[[#This Row],[FN]]," ",ESDEEInfo[[#This Row],[LN]]))</f>
        <v/>
      </c>
      <c r="AB53" s="49"/>
      <c r="AC53" s="49"/>
      <c r="AD53" s="49"/>
      <c r="AF53" s="53" t="str">
        <f>IFERROR(INDEX(ESDEEInfo[Name],_xlfn.AGGREGATE(15,6,(ROW(ESDEEInfo[Name])-MIN(ROW(ESDEEInfo[Name]))+1)/(ESDEEInfo[Name]&lt;&gt;"")/(ISNA(MATCH(ESDEEInfo[Name],$AF$3:AF52,0))),1)),"")</f>
        <v/>
      </c>
      <c r="AG53" s="44">
        <f t="shared" si="11"/>
        <v>0</v>
      </c>
      <c r="AH53" s="44">
        <f t="shared" si="11"/>
        <v>0</v>
      </c>
      <c r="AI53" s="44">
        <f t="shared" si="11"/>
        <v>0</v>
      </c>
      <c r="AJ53" s="44">
        <f t="shared" si="11"/>
        <v>0</v>
      </c>
      <c r="AL53" s="49" t="str">
        <f>IF(DAYEEInfo[[#This Row],[FN]]=0,"",CONCATENATE(DAYEEInfo[[#This Row],[FN]]," ",DAYEEInfo[[#This Row],[LN]]))</f>
        <v xml:space="preserve"> </v>
      </c>
      <c r="AM53" s="49" t="s">
        <v>114</v>
      </c>
      <c r="AN53" s="49" t="s">
        <v>114</v>
      </c>
      <c r="AO53" s="49" t="s">
        <v>114</v>
      </c>
      <c r="AQ53" s="53" t="str">
        <f t="array" ref="AQ53">IFERROR(INDEX(DAYEEInfo[Name],_xlfn.AGGREGATE(15,6,(ROW(DAYEEInfo[Name])-MIN(ROW(DAYEEInfo[Name]))+1)/(DAYEEInfo[Name]&lt;&gt;"")/(ISNA(MATCH(DAYEEInfo[Name],$AQ$3:AQ52,0))),1)),"")</f>
        <v/>
      </c>
      <c r="AR53" s="44" t="str">
        <f t="shared" si="12"/>
        <v/>
      </c>
      <c r="AS53" s="44" t="str">
        <f t="shared" si="12"/>
        <v/>
      </c>
      <c r="AT53" s="44" t="str">
        <f t="shared" si="12"/>
        <v/>
      </c>
      <c r="AU53" s="44" t="str">
        <f t="shared" si="12"/>
        <v/>
      </c>
      <c r="AV53" s="102" t="str">
        <f t="shared" si="12"/>
        <v/>
      </c>
      <c r="AW53" s="102" t="str">
        <f t="shared" si="12"/>
        <v/>
      </c>
      <c r="AX53" s="102" t="str">
        <f t="shared" si="12"/>
        <v/>
      </c>
    </row>
    <row r="54" spans="1:50" ht="15" x14ac:dyDescent="0.25">
      <c r="A54" s="6"/>
      <c r="B54" s="1" t="str">
        <f t="array" ref="B54">IFERROR(IF($B$3=Worksheet!$K$3,INDEX(Table43[EE Name],MATCH(0,COUNTIF($B$13:B53,Table43[EE Name]),0)),IF($B$3=Worksheet!$K$4,INDEX(Table4312[EE Name],MATCH(0,COUNTIF($B$13:B53,Table4312[EE Name]),0)),IF($B$3=Worksheet!$K$2,INDEX(ESDPosition[EE Name],MATCH(0,COUNTIF($B$13:B53,ESDPosition[EE Name]),0)),IF($B$3=Worksheet!$K$5,INDEX(DAYPosition[EE Name],MATCH(0,COUNTIF($B$13:B53,DAYPosition[EE Name]),0)),"")))),"")</f>
        <v/>
      </c>
      <c r="C54" s="1"/>
      <c r="D54" s="64">
        <f>IF(Table54[[#This Row],[Name]]=Table54[[#This Row],[Name]],COUNTIF($E$4:E54,Table54[[#This Row],[Name]]),"")</f>
        <v>51</v>
      </c>
      <c r="E54" s="49" t="str">
        <f>IF(Table54[[#This Row],[FN]]=0,"",CONCATENATE(Table54[[#This Row],[FN]]," ",Table54[[#This Row],[LN]]))</f>
        <v/>
      </c>
      <c r="F54" s="90"/>
      <c r="G54" s="90"/>
      <c r="H54" s="90"/>
      <c r="J54" s="53" t="str">
        <f>IFERROR(INDEX(Table54[Name],_xlfn.AGGREGATE(15,6,(ROW(Table54[Name])-MIN(ROW(Table54[Name]))+1)/(Table54[Name]&lt;&gt;"")/(ISNA(MATCH(Table54[Name],$J$3:J53,0))),1)),"")</f>
        <v/>
      </c>
      <c r="K54" s="44">
        <f t="shared" si="9"/>
        <v>0</v>
      </c>
      <c r="L54" s="44">
        <f t="shared" si="9"/>
        <v>0</v>
      </c>
      <c r="M54" s="44">
        <f t="shared" si="9"/>
        <v>0</v>
      </c>
      <c r="N54" s="44">
        <f t="shared" si="9"/>
        <v>0</v>
      </c>
      <c r="P54" s="49" t="str">
        <f>IF(MONEEInfo[[#This Row],[FN]]=0,"",CONCATENATE(MONEEInfo[[#This Row],[FN]]," ",MONEEInfo[[#This Row],[LN]]))</f>
        <v/>
      </c>
      <c r="Q54" s="49"/>
      <c r="R54" s="49"/>
      <c r="S54" s="49"/>
      <c r="U54" s="53" t="str">
        <f>IFERROR(INDEX(MONEEInfo[Name],_xlfn.AGGREGATE(15,6,(ROW(MONEEInfo[Name])-MIN(ROW(MONEEInfo[Name]))+1)/(MONEEInfo[Name]&lt;&gt;"")/(ISNA(MATCH(MONEEInfo[Name],$U$3:U53,0))),1)),"")</f>
        <v/>
      </c>
      <c r="V54" s="44">
        <f t="shared" si="10"/>
        <v>0</v>
      </c>
      <c r="W54" s="44">
        <f t="shared" si="10"/>
        <v>0</v>
      </c>
      <c r="X54" s="44">
        <f t="shared" si="10"/>
        <v>0</v>
      </c>
      <c r="Y54" s="44">
        <f t="shared" si="10"/>
        <v>0</v>
      </c>
      <c r="AA54" s="49" t="str">
        <f>IF(ESDEEInfo[[#This Row],[FN]]=0,"",CONCATENATE(ESDEEInfo[[#This Row],[FN]]," ",ESDEEInfo[[#This Row],[LN]]))</f>
        <v/>
      </c>
      <c r="AB54" s="49"/>
      <c r="AC54" s="49"/>
      <c r="AD54" s="49"/>
      <c r="AF54" s="53" t="str">
        <f>IFERROR(INDEX(ESDEEInfo[Name],_xlfn.AGGREGATE(15,6,(ROW(ESDEEInfo[Name])-MIN(ROW(ESDEEInfo[Name]))+1)/(ESDEEInfo[Name]&lt;&gt;"")/(ISNA(MATCH(ESDEEInfo[Name],$AF$3:AF53,0))),1)),"")</f>
        <v/>
      </c>
      <c r="AG54" s="44">
        <f t="shared" si="11"/>
        <v>0</v>
      </c>
      <c r="AH54" s="44">
        <f t="shared" si="11"/>
        <v>0</v>
      </c>
      <c r="AI54" s="44">
        <f t="shared" si="11"/>
        <v>0</v>
      </c>
      <c r="AJ54" s="44">
        <f t="shared" si="11"/>
        <v>0</v>
      </c>
      <c r="AL54" s="49" t="str">
        <f>IF(DAYEEInfo[[#This Row],[FN]]=0,"",CONCATENATE(DAYEEInfo[[#This Row],[FN]]," ",DAYEEInfo[[#This Row],[LN]]))</f>
        <v xml:space="preserve"> </v>
      </c>
      <c r="AM54" s="49" t="s">
        <v>114</v>
      </c>
      <c r="AN54" s="49" t="s">
        <v>114</v>
      </c>
      <c r="AO54" s="49" t="s">
        <v>114</v>
      </c>
      <c r="AQ54" s="53" t="str">
        <f t="array" ref="AQ54">IFERROR(INDEX(DAYEEInfo[Name],_xlfn.AGGREGATE(15,6,(ROW(DAYEEInfo[Name])-MIN(ROW(DAYEEInfo[Name]))+1)/(DAYEEInfo[Name]&lt;&gt;"")/(ISNA(MATCH(DAYEEInfo[Name],$AQ$3:AQ53,0))),1)),"")</f>
        <v/>
      </c>
      <c r="AR54" s="44" t="str">
        <f t="shared" si="12"/>
        <v/>
      </c>
      <c r="AS54" s="44" t="str">
        <f t="shared" si="12"/>
        <v/>
      </c>
      <c r="AT54" s="44" t="str">
        <f t="shared" si="12"/>
        <v/>
      </c>
      <c r="AU54" s="44" t="str">
        <f t="shared" si="12"/>
        <v/>
      </c>
      <c r="AV54" s="102" t="str">
        <f t="shared" si="12"/>
        <v/>
      </c>
      <c r="AW54" s="102" t="str">
        <f t="shared" si="12"/>
        <v/>
      </c>
      <c r="AX54" s="102" t="str">
        <f t="shared" si="12"/>
        <v/>
      </c>
    </row>
    <row r="55" spans="1:50" ht="15" x14ac:dyDescent="0.25">
      <c r="A55" s="6"/>
      <c r="B55" s="1" t="str">
        <f t="array" ref="B55">IFERROR(IF($B$3=Worksheet!$K$3,INDEX(Table43[EE Name],MATCH(0,COUNTIF($B$13:B54,Table43[EE Name]),0)),IF($B$3=Worksheet!$K$4,INDEX(Table4312[EE Name],MATCH(0,COUNTIF($B$13:B54,Table4312[EE Name]),0)),IF($B$3=Worksheet!$K$2,INDEX(ESDPosition[EE Name],MATCH(0,COUNTIF($B$13:B54,ESDPosition[EE Name]),0)),IF($B$3=Worksheet!$K$5,INDEX(DAYPosition[EE Name],MATCH(0,COUNTIF($B$13:B54,DAYPosition[EE Name]),0)),"")))),"")</f>
        <v/>
      </c>
      <c r="C55" s="1"/>
      <c r="D55" s="64">
        <f>IF(Table54[[#This Row],[Name]]=Table54[[#This Row],[Name]],COUNTIF($E$4:E55,Table54[[#This Row],[Name]]),"")</f>
        <v>52</v>
      </c>
      <c r="E55" s="49" t="str">
        <f>IF(Table54[[#This Row],[FN]]=0,"",CONCATENATE(Table54[[#This Row],[FN]]," ",Table54[[#This Row],[LN]]))</f>
        <v/>
      </c>
      <c r="F55" s="90"/>
      <c r="G55" s="90"/>
      <c r="H55" s="90"/>
      <c r="J55" s="53" t="str">
        <f>IFERROR(INDEX(Table54[Name],_xlfn.AGGREGATE(15,6,(ROW(Table54[Name])-MIN(ROW(Table54[Name]))+1)/(Table54[Name]&lt;&gt;"")/(ISNA(MATCH(Table54[Name],$J$3:J54,0))),1)),"")</f>
        <v/>
      </c>
      <c r="K55" s="44">
        <f t="shared" si="9"/>
        <v>0</v>
      </c>
      <c r="L55" s="44">
        <f t="shared" si="9"/>
        <v>0</v>
      </c>
      <c r="M55" s="44">
        <f t="shared" si="9"/>
        <v>0</v>
      </c>
      <c r="N55" s="44">
        <f t="shared" si="9"/>
        <v>0</v>
      </c>
      <c r="P55" s="49" t="str">
        <f>IF(MONEEInfo[[#This Row],[FN]]=0,"",CONCATENATE(MONEEInfo[[#This Row],[FN]]," ",MONEEInfo[[#This Row],[LN]]))</f>
        <v/>
      </c>
      <c r="Q55" s="49"/>
      <c r="R55" s="49"/>
      <c r="S55" s="49"/>
      <c r="U55" s="53" t="str">
        <f>IFERROR(INDEX(MONEEInfo[Name],_xlfn.AGGREGATE(15,6,(ROW(MONEEInfo[Name])-MIN(ROW(MONEEInfo[Name]))+1)/(MONEEInfo[Name]&lt;&gt;"")/(ISNA(MATCH(MONEEInfo[Name],$U$3:U54,0))),1)),"")</f>
        <v/>
      </c>
      <c r="V55" s="44">
        <f t="shared" si="10"/>
        <v>0</v>
      </c>
      <c r="W55" s="44">
        <f t="shared" si="10"/>
        <v>0</v>
      </c>
      <c r="X55" s="44">
        <f t="shared" si="10"/>
        <v>0</v>
      </c>
      <c r="Y55" s="44">
        <f t="shared" si="10"/>
        <v>0</v>
      </c>
      <c r="AA55" s="49" t="str">
        <f>IF(ESDEEInfo[[#This Row],[FN]]=0,"",CONCATENATE(ESDEEInfo[[#This Row],[FN]]," ",ESDEEInfo[[#This Row],[LN]]))</f>
        <v/>
      </c>
      <c r="AB55" s="49"/>
      <c r="AC55" s="49"/>
      <c r="AD55" s="49"/>
      <c r="AF55" s="53" t="str">
        <f>IFERROR(INDEX(ESDEEInfo[Name],_xlfn.AGGREGATE(15,6,(ROW(ESDEEInfo[Name])-MIN(ROW(ESDEEInfo[Name]))+1)/(ESDEEInfo[Name]&lt;&gt;"")/(ISNA(MATCH(ESDEEInfo[Name],$AF$3:AF54,0))),1)),"")</f>
        <v/>
      </c>
      <c r="AG55" s="44">
        <f t="shared" si="11"/>
        <v>0</v>
      </c>
      <c r="AH55" s="44">
        <f t="shared" si="11"/>
        <v>0</v>
      </c>
      <c r="AI55" s="44">
        <f t="shared" si="11"/>
        <v>0</v>
      </c>
      <c r="AJ55" s="44">
        <f t="shared" si="11"/>
        <v>0</v>
      </c>
      <c r="AL55" s="49" t="str">
        <f>IF(DAYEEInfo[[#This Row],[FN]]=0,"",CONCATENATE(DAYEEInfo[[#This Row],[FN]]," ",DAYEEInfo[[#This Row],[LN]]))</f>
        <v xml:space="preserve"> </v>
      </c>
      <c r="AM55" s="49" t="s">
        <v>114</v>
      </c>
      <c r="AN55" s="49" t="s">
        <v>114</v>
      </c>
      <c r="AO55" s="49" t="s">
        <v>114</v>
      </c>
      <c r="AQ55" s="53" t="str">
        <f t="array" ref="AQ55">IFERROR(INDEX(DAYEEInfo[Name],_xlfn.AGGREGATE(15,6,(ROW(DAYEEInfo[Name])-MIN(ROW(DAYEEInfo[Name]))+1)/(DAYEEInfo[Name]&lt;&gt;"")/(ISNA(MATCH(DAYEEInfo[Name],$AQ$3:AQ54,0))),1)),"")</f>
        <v/>
      </c>
      <c r="AR55" s="44" t="str">
        <f t="shared" si="12"/>
        <v/>
      </c>
      <c r="AS55" s="44" t="str">
        <f t="shared" si="12"/>
        <v/>
      </c>
      <c r="AT55" s="44" t="str">
        <f t="shared" si="12"/>
        <v/>
      </c>
      <c r="AU55" s="44" t="str">
        <f t="shared" si="12"/>
        <v/>
      </c>
      <c r="AV55" s="102" t="str">
        <f t="shared" si="12"/>
        <v/>
      </c>
      <c r="AW55" s="102" t="str">
        <f t="shared" si="12"/>
        <v/>
      </c>
      <c r="AX55" s="102" t="str">
        <f t="shared" si="12"/>
        <v/>
      </c>
    </row>
    <row r="56" spans="1:50" ht="15" x14ac:dyDescent="0.25">
      <c r="A56" s="6"/>
      <c r="B56" s="1" t="str">
        <f t="array" ref="B56">IFERROR(IF($B$3=Worksheet!$K$3,INDEX(Table43[EE Name],MATCH(0,COUNTIF($B$13:B55,Table43[EE Name]),0)),IF($B$3=Worksheet!$K$4,INDEX(Table4312[EE Name],MATCH(0,COUNTIF($B$13:B55,Table4312[EE Name]),0)),IF($B$3=Worksheet!$K$2,INDEX(ESDPosition[EE Name],MATCH(0,COUNTIF($B$13:B55,ESDPosition[EE Name]),0)),IF($B$3=Worksheet!$K$5,INDEX(DAYPosition[EE Name],MATCH(0,COUNTIF($B$13:B55,DAYPosition[EE Name]),0)),"")))),"")</f>
        <v/>
      </c>
      <c r="C56" s="1"/>
      <c r="D56" s="64">
        <f>IF(Table54[[#This Row],[Name]]=Table54[[#This Row],[Name]],COUNTIF($E$4:E56,Table54[[#This Row],[Name]]),"")</f>
        <v>53</v>
      </c>
      <c r="E56" s="49" t="str">
        <f>IF(Table54[[#This Row],[FN]]=0,"",CONCATENATE(Table54[[#This Row],[FN]]," ",Table54[[#This Row],[LN]]))</f>
        <v/>
      </c>
      <c r="F56" s="90"/>
      <c r="G56" s="90"/>
      <c r="H56" s="90"/>
      <c r="J56" s="53" t="str">
        <f>IFERROR(INDEX(Table54[Name],_xlfn.AGGREGATE(15,6,(ROW(Table54[Name])-MIN(ROW(Table54[Name]))+1)/(Table54[Name]&lt;&gt;"")/(ISNA(MATCH(Table54[Name],$J$3:J55,0))),1)),"")</f>
        <v/>
      </c>
      <c r="K56" s="44">
        <f t="shared" si="9"/>
        <v>0</v>
      </c>
      <c r="L56" s="44">
        <f t="shared" si="9"/>
        <v>0</v>
      </c>
      <c r="M56" s="44">
        <f t="shared" si="9"/>
        <v>0</v>
      </c>
      <c r="N56" s="44">
        <f t="shared" si="9"/>
        <v>0</v>
      </c>
      <c r="P56" s="49" t="str">
        <f>IF(MONEEInfo[[#This Row],[FN]]=0,"",CONCATENATE(MONEEInfo[[#This Row],[FN]]," ",MONEEInfo[[#This Row],[LN]]))</f>
        <v/>
      </c>
      <c r="Q56" s="49"/>
      <c r="R56" s="49"/>
      <c r="S56" s="49"/>
      <c r="U56" s="53" t="str">
        <f>IFERROR(INDEX(MONEEInfo[Name],_xlfn.AGGREGATE(15,6,(ROW(MONEEInfo[Name])-MIN(ROW(MONEEInfo[Name]))+1)/(MONEEInfo[Name]&lt;&gt;"")/(ISNA(MATCH(MONEEInfo[Name],$U$3:U55,0))),1)),"")</f>
        <v/>
      </c>
      <c r="V56" s="44">
        <f t="shared" si="10"/>
        <v>0</v>
      </c>
      <c r="W56" s="44">
        <f t="shared" si="10"/>
        <v>0</v>
      </c>
      <c r="X56" s="44">
        <f t="shared" si="10"/>
        <v>0</v>
      </c>
      <c r="Y56" s="44">
        <f t="shared" si="10"/>
        <v>0</v>
      </c>
      <c r="AA56" s="49" t="str">
        <f>IF(ESDEEInfo[[#This Row],[FN]]=0,"",CONCATENATE(ESDEEInfo[[#This Row],[FN]]," ",ESDEEInfo[[#This Row],[LN]]))</f>
        <v/>
      </c>
      <c r="AB56" s="49"/>
      <c r="AC56" s="49"/>
      <c r="AD56" s="49"/>
      <c r="AF56" s="53" t="str">
        <f>IFERROR(INDEX(ESDEEInfo[Name],_xlfn.AGGREGATE(15,6,(ROW(ESDEEInfo[Name])-MIN(ROW(ESDEEInfo[Name]))+1)/(ESDEEInfo[Name]&lt;&gt;"")/(ISNA(MATCH(ESDEEInfo[Name],$AF$3:AF55,0))),1)),"")</f>
        <v/>
      </c>
      <c r="AG56" s="44">
        <f t="shared" si="11"/>
        <v>0</v>
      </c>
      <c r="AH56" s="44">
        <f t="shared" si="11"/>
        <v>0</v>
      </c>
      <c r="AI56" s="44">
        <f t="shared" si="11"/>
        <v>0</v>
      </c>
      <c r="AJ56" s="44">
        <f t="shared" si="11"/>
        <v>0</v>
      </c>
      <c r="AL56" s="49" t="str">
        <f>IF(DAYEEInfo[[#This Row],[FN]]=0,"",CONCATENATE(DAYEEInfo[[#This Row],[FN]]," ",DAYEEInfo[[#This Row],[LN]]))</f>
        <v xml:space="preserve"> </v>
      </c>
      <c r="AM56" s="49" t="s">
        <v>114</v>
      </c>
      <c r="AN56" s="49" t="s">
        <v>114</v>
      </c>
      <c r="AO56" s="49" t="s">
        <v>114</v>
      </c>
      <c r="AQ56" s="53" t="str">
        <f t="array" ref="AQ56">IFERROR(INDEX(DAYEEInfo[Name],_xlfn.AGGREGATE(15,6,(ROW(DAYEEInfo[Name])-MIN(ROW(DAYEEInfo[Name]))+1)/(DAYEEInfo[Name]&lt;&gt;"")/(ISNA(MATCH(DAYEEInfo[Name],$AQ$3:AQ55,0))),1)),"")</f>
        <v/>
      </c>
      <c r="AR56" s="44" t="str">
        <f t="shared" si="12"/>
        <v/>
      </c>
      <c r="AS56" s="44" t="str">
        <f t="shared" si="12"/>
        <v/>
      </c>
      <c r="AT56" s="44" t="str">
        <f t="shared" si="12"/>
        <v/>
      </c>
      <c r="AU56" s="44" t="str">
        <f t="shared" si="12"/>
        <v/>
      </c>
      <c r="AV56" s="102" t="str">
        <f t="shared" si="12"/>
        <v/>
      </c>
      <c r="AW56" s="102" t="str">
        <f t="shared" si="12"/>
        <v/>
      </c>
      <c r="AX56" s="102" t="str">
        <f t="shared" si="12"/>
        <v/>
      </c>
    </row>
    <row r="57" spans="1:50" ht="15" x14ac:dyDescent="0.25">
      <c r="A57" s="6"/>
      <c r="B57" s="1" t="str">
        <f t="array" ref="B57">IFERROR(IF($B$3=Worksheet!$K$3,INDEX(Table43[EE Name],MATCH(0,COUNTIF($B$13:B56,Table43[EE Name]),0)),IF($B$3=Worksheet!$K$4,INDEX(Table4312[EE Name],MATCH(0,COUNTIF($B$13:B56,Table4312[EE Name]),0)),IF($B$3=Worksheet!$K$2,INDEX(ESDPosition[EE Name],MATCH(0,COUNTIF($B$13:B56,ESDPosition[EE Name]),0)),IF($B$3=Worksheet!$K$5,INDEX(DAYPosition[EE Name],MATCH(0,COUNTIF($B$13:B56,DAYPosition[EE Name]),0)),"")))),"")</f>
        <v/>
      </c>
      <c r="C57" s="1"/>
      <c r="D57" s="64">
        <f>IF(Table54[[#This Row],[Name]]=Table54[[#This Row],[Name]],COUNTIF($E$4:E57,Table54[[#This Row],[Name]]),"")</f>
        <v>54</v>
      </c>
      <c r="E57" s="49" t="str">
        <f>IF(Table54[[#This Row],[FN]]=0,"",CONCATENATE(Table54[[#This Row],[FN]]," ",Table54[[#This Row],[LN]]))</f>
        <v/>
      </c>
      <c r="F57" s="90"/>
      <c r="G57" s="90"/>
      <c r="H57" s="90"/>
      <c r="J57" s="53" t="str">
        <f>IFERROR(INDEX(Table54[Name],_xlfn.AGGREGATE(15,6,(ROW(Table54[Name])-MIN(ROW(Table54[Name]))+1)/(Table54[Name]&lt;&gt;"")/(ISNA(MATCH(Table54[Name],$J$3:J56,0))),1)),"")</f>
        <v/>
      </c>
      <c r="K57" s="44">
        <f t="shared" si="9"/>
        <v>0</v>
      </c>
      <c r="L57" s="44">
        <f t="shared" si="9"/>
        <v>0</v>
      </c>
      <c r="M57" s="44">
        <f t="shared" si="9"/>
        <v>0</v>
      </c>
      <c r="N57" s="44">
        <f t="shared" si="9"/>
        <v>0</v>
      </c>
      <c r="P57" s="49" t="str">
        <f>IF(MONEEInfo[[#This Row],[FN]]=0,"",CONCATENATE(MONEEInfo[[#This Row],[FN]]," ",MONEEInfo[[#This Row],[LN]]))</f>
        <v/>
      </c>
      <c r="Q57" s="49"/>
      <c r="R57" s="49"/>
      <c r="S57" s="49"/>
      <c r="U57" s="53" t="str">
        <f>IFERROR(INDEX(MONEEInfo[Name],_xlfn.AGGREGATE(15,6,(ROW(MONEEInfo[Name])-MIN(ROW(MONEEInfo[Name]))+1)/(MONEEInfo[Name]&lt;&gt;"")/(ISNA(MATCH(MONEEInfo[Name],$U$3:U56,0))),1)),"")</f>
        <v/>
      </c>
      <c r="V57" s="44">
        <f t="shared" si="10"/>
        <v>0</v>
      </c>
      <c r="W57" s="44">
        <f t="shared" si="10"/>
        <v>0</v>
      </c>
      <c r="X57" s="44">
        <f t="shared" si="10"/>
        <v>0</v>
      </c>
      <c r="Y57" s="44">
        <f t="shared" si="10"/>
        <v>0</v>
      </c>
      <c r="AA57" s="49" t="str">
        <f>IF(ESDEEInfo[[#This Row],[FN]]=0,"",CONCATENATE(ESDEEInfo[[#This Row],[FN]]," ",ESDEEInfo[[#This Row],[LN]]))</f>
        <v/>
      </c>
      <c r="AB57" s="49"/>
      <c r="AC57" s="49"/>
      <c r="AD57" s="49"/>
      <c r="AF57" s="53" t="str">
        <f>IFERROR(INDEX(ESDEEInfo[Name],_xlfn.AGGREGATE(15,6,(ROW(ESDEEInfo[Name])-MIN(ROW(ESDEEInfo[Name]))+1)/(ESDEEInfo[Name]&lt;&gt;"")/(ISNA(MATCH(ESDEEInfo[Name],$AF$3:AF56,0))),1)),"")</f>
        <v/>
      </c>
      <c r="AG57" s="44">
        <f t="shared" si="11"/>
        <v>0</v>
      </c>
      <c r="AH57" s="44">
        <f t="shared" si="11"/>
        <v>0</v>
      </c>
      <c r="AI57" s="44">
        <f t="shared" si="11"/>
        <v>0</v>
      </c>
      <c r="AJ57" s="44">
        <f t="shared" si="11"/>
        <v>0</v>
      </c>
      <c r="AL57" s="49" t="str">
        <f>IF(DAYEEInfo[[#This Row],[FN]]=0,"",CONCATENATE(DAYEEInfo[[#This Row],[FN]]," ",DAYEEInfo[[#This Row],[LN]]))</f>
        <v xml:space="preserve"> </v>
      </c>
      <c r="AM57" s="49" t="s">
        <v>114</v>
      </c>
      <c r="AN57" s="49" t="s">
        <v>114</v>
      </c>
      <c r="AO57" s="49" t="s">
        <v>114</v>
      </c>
      <c r="AQ57" s="53" t="str">
        <f t="array" ref="AQ57">IFERROR(INDEX(DAYEEInfo[Name],_xlfn.AGGREGATE(15,6,(ROW(DAYEEInfo[Name])-MIN(ROW(DAYEEInfo[Name]))+1)/(DAYEEInfo[Name]&lt;&gt;"")/(ISNA(MATCH(DAYEEInfo[Name],$AQ$3:AQ56,0))),1)),"")</f>
        <v/>
      </c>
      <c r="AR57" s="44" t="str">
        <f t="shared" si="12"/>
        <v/>
      </c>
      <c r="AS57" s="44" t="str">
        <f t="shared" si="12"/>
        <v/>
      </c>
      <c r="AT57" s="44" t="str">
        <f t="shared" si="12"/>
        <v/>
      </c>
      <c r="AU57" s="44" t="str">
        <f t="shared" si="12"/>
        <v/>
      </c>
      <c r="AV57" s="102" t="str">
        <f t="shared" si="12"/>
        <v/>
      </c>
      <c r="AW57" s="102" t="str">
        <f t="shared" si="12"/>
        <v/>
      </c>
      <c r="AX57" s="102" t="str">
        <f t="shared" si="12"/>
        <v/>
      </c>
    </row>
    <row r="58" spans="1:50" ht="15" x14ac:dyDescent="0.25">
      <c r="A58" s="6"/>
      <c r="B58" s="1" t="str">
        <f t="array" ref="B58">IFERROR(IF($B$3=Worksheet!$K$3,INDEX(Table43[EE Name],MATCH(0,COUNTIF($B$13:B57,Table43[EE Name]),0)),IF($B$3=Worksheet!$K$4,INDEX(Table4312[EE Name],MATCH(0,COUNTIF($B$13:B57,Table4312[EE Name]),0)),IF($B$3=Worksheet!$K$2,INDEX(ESDPosition[EE Name],MATCH(0,COUNTIF($B$13:B57,ESDPosition[EE Name]),0)),IF($B$3=Worksheet!$K$5,INDEX(DAYPosition[EE Name],MATCH(0,COUNTIF($B$13:B57,DAYPosition[EE Name]),0)),"")))),"")</f>
        <v/>
      </c>
      <c r="C58" s="1"/>
      <c r="D58" s="64">
        <f>IF(Table54[[#This Row],[Name]]=Table54[[#This Row],[Name]],COUNTIF($E$4:E58,Table54[[#This Row],[Name]]),"")</f>
        <v>55</v>
      </c>
      <c r="E58" s="49" t="str">
        <f>IF(Table54[[#This Row],[FN]]=0,"",CONCATENATE(Table54[[#This Row],[FN]]," ",Table54[[#This Row],[LN]]))</f>
        <v/>
      </c>
      <c r="F58" s="90"/>
      <c r="G58" s="90"/>
      <c r="H58" s="90"/>
      <c r="J58" s="53" t="str">
        <f>IFERROR(INDEX(Table54[Name],_xlfn.AGGREGATE(15,6,(ROW(Table54[Name])-MIN(ROW(Table54[Name]))+1)/(Table54[Name]&lt;&gt;"")/(ISNA(MATCH(Table54[Name],$J$3:J57,0))),1)),"")</f>
        <v/>
      </c>
      <c r="K58" s="44">
        <f t="shared" si="9"/>
        <v>0</v>
      </c>
      <c r="L58" s="44">
        <f t="shared" si="9"/>
        <v>0</v>
      </c>
      <c r="M58" s="44">
        <f t="shared" si="9"/>
        <v>0</v>
      </c>
      <c r="N58" s="44">
        <f t="shared" si="9"/>
        <v>0</v>
      </c>
      <c r="P58" s="49" t="str">
        <f>IF(MONEEInfo[[#This Row],[FN]]=0,"",CONCATENATE(MONEEInfo[[#This Row],[FN]]," ",MONEEInfo[[#This Row],[LN]]))</f>
        <v/>
      </c>
      <c r="Q58" s="49"/>
      <c r="R58" s="49"/>
      <c r="S58" s="49"/>
      <c r="U58" s="53" t="str">
        <f>IFERROR(INDEX(MONEEInfo[Name],_xlfn.AGGREGATE(15,6,(ROW(MONEEInfo[Name])-MIN(ROW(MONEEInfo[Name]))+1)/(MONEEInfo[Name]&lt;&gt;"")/(ISNA(MATCH(MONEEInfo[Name],$U$3:U57,0))),1)),"")</f>
        <v/>
      </c>
      <c r="V58" s="44">
        <f t="shared" si="10"/>
        <v>0</v>
      </c>
      <c r="W58" s="44">
        <f t="shared" si="10"/>
        <v>0</v>
      </c>
      <c r="X58" s="44">
        <f t="shared" si="10"/>
        <v>0</v>
      </c>
      <c r="Y58" s="44">
        <f t="shared" si="10"/>
        <v>0</v>
      </c>
      <c r="AA58" s="49" t="str">
        <f>IF(ESDEEInfo[[#This Row],[FN]]=0,"",CONCATENATE(ESDEEInfo[[#This Row],[FN]]," ",ESDEEInfo[[#This Row],[LN]]))</f>
        <v/>
      </c>
      <c r="AB58" s="49"/>
      <c r="AC58" s="49"/>
      <c r="AD58" s="49"/>
      <c r="AF58" s="53" t="str">
        <f>IFERROR(INDEX(ESDEEInfo[Name],_xlfn.AGGREGATE(15,6,(ROW(ESDEEInfo[Name])-MIN(ROW(ESDEEInfo[Name]))+1)/(ESDEEInfo[Name]&lt;&gt;"")/(ISNA(MATCH(ESDEEInfo[Name],$AF$3:AF57,0))),1)),"")</f>
        <v/>
      </c>
      <c r="AG58" s="44">
        <f t="shared" si="11"/>
        <v>0</v>
      </c>
      <c r="AH58" s="44">
        <f t="shared" si="11"/>
        <v>0</v>
      </c>
      <c r="AI58" s="44">
        <f t="shared" si="11"/>
        <v>0</v>
      </c>
      <c r="AJ58" s="44">
        <f t="shared" si="11"/>
        <v>0</v>
      </c>
      <c r="AL58" s="49" t="str">
        <f>IF(DAYEEInfo[[#This Row],[FN]]=0,"",CONCATENATE(DAYEEInfo[[#This Row],[FN]]," ",DAYEEInfo[[#This Row],[LN]]))</f>
        <v xml:space="preserve"> </v>
      </c>
      <c r="AM58" s="49" t="s">
        <v>114</v>
      </c>
      <c r="AN58" s="49" t="s">
        <v>114</v>
      </c>
      <c r="AO58" s="49" t="s">
        <v>114</v>
      </c>
      <c r="AQ58" s="53" t="str">
        <f t="array" ref="AQ58">IFERROR(INDEX(DAYEEInfo[Name],_xlfn.AGGREGATE(15,6,(ROW(DAYEEInfo[Name])-MIN(ROW(DAYEEInfo[Name]))+1)/(DAYEEInfo[Name]&lt;&gt;"")/(ISNA(MATCH(DAYEEInfo[Name],$AQ$3:AQ57,0))),1)),"")</f>
        <v/>
      </c>
      <c r="AR58" s="44" t="str">
        <f t="shared" si="12"/>
        <v/>
      </c>
      <c r="AS58" s="44" t="str">
        <f t="shared" si="12"/>
        <v/>
      </c>
      <c r="AT58" s="44" t="str">
        <f t="shared" si="12"/>
        <v/>
      </c>
      <c r="AU58" s="44" t="str">
        <f t="shared" si="12"/>
        <v/>
      </c>
      <c r="AV58" s="102" t="str">
        <f t="shared" si="12"/>
        <v/>
      </c>
      <c r="AW58" s="102" t="str">
        <f t="shared" si="12"/>
        <v/>
      </c>
      <c r="AX58" s="102" t="str">
        <f t="shared" si="12"/>
        <v/>
      </c>
    </row>
    <row r="59" spans="1:50" ht="15" x14ac:dyDescent="0.25">
      <c r="A59" s="6"/>
      <c r="B59" s="1" t="str">
        <f t="array" ref="B59">IFERROR(IF($B$3=Worksheet!$K$3,INDEX(Table43[EE Name],MATCH(0,COUNTIF($B$13:B58,Table43[EE Name]),0)),IF($B$3=Worksheet!$K$4,INDEX(Table4312[EE Name],MATCH(0,COUNTIF($B$13:B58,Table4312[EE Name]),0)),IF($B$3=Worksheet!$K$2,INDEX(ESDPosition[EE Name],MATCH(0,COUNTIF($B$13:B58,ESDPosition[EE Name]),0)),IF($B$3=Worksheet!$K$5,INDEX(DAYPosition[EE Name],MATCH(0,COUNTIF($B$13:B58,DAYPosition[EE Name]),0)),"")))),"")</f>
        <v/>
      </c>
      <c r="C59" s="1"/>
      <c r="D59" s="64">
        <f>IF(Table54[[#This Row],[Name]]=Table54[[#This Row],[Name]],COUNTIF($E$4:E59,Table54[[#This Row],[Name]]),"")</f>
        <v>56</v>
      </c>
      <c r="E59" s="49" t="str">
        <f>IF(Table54[[#This Row],[FN]]=0,"",CONCATENATE(Table54[[#This Row],[FN]]," ",Table54[[#This Row],[LN]]))</f>
        <v/>
      </c>
      <c r="F59" s="90"/>
      <c r="G59" s="90"/>
      <c r="H59" s="90"/>
      <c r="J59" s="53" t="str">
        <f>IFERROR(INDEX(Table54[Name],_xlfn.AGGREGATE(15,6,(ROW(Table54[Name])-MIN(ROW(Table54[Name]))+1)/(Table54[Name]&lt;&gt;"")/(ISNA(MATCH(Table54[Name],$J$3:J58,0))),1)),"")</f>
        <v/>
      </c>
      <c r="K59" s="44">
        <f t="shared" si="9"/>
        <v>0</v>
      </c>
      <c r="L59" s="44">
        <f t="shared" si="9"/>
        <v>0</v>
      </c>
      <c r="M59" s="44">
        <f t="shared" si="9"/>
        <v>0</v>
      </c>
      <c r="N59" s="44">
        <f t="shared" si="9"/>
        <v>0</v>
      </c>
      <c r="P59" s="49" t="str">
        <f>IF(MONEEInfo[[#This Row],[FN]]=0,"",CONCATENATE(MONEEInfo[[#This Row],[FN]]," ",MONEEInfo[[#This Row],[LN]]))</f>
        <v/>
      </c>
      <c r="Q59" s="49"/>
      <c r="R59" s="49"/>
      <c r="S59" s="49"/>
      <c r="U59" s="53" t="str">
        <f>IFERROR(INDEX(MONEEInfo[Name],_xlfn.AGGREGATE(15,6,(ROW(MONEEInfo[Name])-MIN(ROW(MONEEInfo[Name]))+1)/(MONEEInfo[Name]&lt;&gt;"")/(ISNA(MATCH(MONEEInfo[Name],$U$3:U58,0))),1)),"")</f>
        <v/>
      </c>
      <c r="V59" s="44">
        <f t="shared" si="10"/>
        <v>0</v>
      </c>
      <c r="W59" s="44">
        <f t="shared" si="10"/>
        <v>0</v>
      </c>
      <c r="X59" s="44">
        <f t="shared" si="10"/>
        <v>0</v>
      </c>
      <c r="Y59" s="44">
        <f t="shared" si="10"/>
        <v>0</v>
      </c>
      <c r="AA59" s="49" t="str">
        <f>IF(ESDEEInfo[[#This Row],[FN]]=0,"",CONCATENATE(ESDEEInfo[[#This Row],[FN]]," ",ESDEEInfo[[#This Row],[LN]]))</f>
        <v/>
      </c>
      <c r="AB59" s="49"/>
      <c r="AC59" s="49"/>
      <c r="AD59" s="49"/>
      <c r="AF59" s="53" t="str">
        <f>IFERROR(INDEX(ESDEEInfo[Name],_xlfn.AGGREGATE(15,6,(ROW(ESDEEInfo[Name])-MIN(ROW(ESDEEInfo[Name]))+1)/(ESDEEInfo[Name]&lt;&gt;"")/(ISNA(MATCH(ESDEEInfo[Name],$AF$3:AF58,0))),1)),"")</f>
        <v/>
      </c>
      <c r="AG59" s="44">
        <f t="shared" si="11"/>
        <v>0</v>
      </c>
      <c r="AH59" s="44">
        <f t="shared" si="11"/>
        <v>0</v>
      </c>
      <c r="AI59" s="44">
        <f t="shared" si="11"/>
        <v>0</v>
      </c>
      <c r="AJ59" s="44">
        <f t="shared" si="11"/>
        <v>0</v>
      </c>
      <c r="AL59" s="49" t="str">
        <f>IF(DAYEEInfo[[#This Row],[FN]]=0,"",CONCATENATE(DAYEEInfo[[#This Row],[FN]]," ",DAYEEInfo[[#This Row],[LN]]))</f>
        <v xml:space="preserve"> </v>
      </c>
      <c r="AM59" s="49" t="s">
        <v>114</v>
      </c>
      <c r="AN59" s="49" t="s">
        <v>114</v>
      </c>
      <c r="AO59" s="49" t="s">
        <v>114</v>
      </c>
      <c r="AQ59" s="53" t="str">
        <f t="array" ref="AQ59">IFERROR(INDEX(DAYEEInfo[Name],_xlfn.AGGREGATE(15,6,(ROW(DAYEEInfo[Name])-MIN(ROW(DAYEEInfo[Name]))+1)/(DAYEEInfo[Name]&lt;&gt;"")/(ISNA(MATCH(DAYEEInfo[Name],$AQ$3:AQ58,0))),1)),"")</f>
        <v/>
      </c>
      <c r="AR59" s="44" t="str">
        <f t="shared" si="12"/>
        <v/>
      </c>
      <c r="AS59" s="44" t="str">
        <f t="shared" si="12"/>
        <v/>
      </c>
      <c r="AT59" s="44" t="str">
        <f t="shared" si="12"/>
        <v/>
      </c>
      <c r="AU59" s="44" t="str">
        <f t="shared" si="12"/>
        <v/>
      </c>
      <c r="AV59" s="102" t="str">
        <f t="shared" si="12"/>
        <v/>
      </c>
      <c r="AW59" s="102" t="str">
        <f t="shared" si="12"/>
        <v/>
      </c>
      <c r="AX59" s="102" t="str">
        <f t="shared" si="12"/>
        <v/>
      </c>
    </row>
    <row r="60" spans="1:50" ht="15" x14ac:dyDescent="0.25">
      <c r="A60" s="6"/>
      <c r="B60" s="1" t="str">
        <f t="array" ref="B60">IFERROR(IF($B$3=Worksheet!$K$3,INDEX(Table43[EE Name],MATCH(0,COUNTIF($B$13:B59,Table43[EE Name]),0)),IF($B$3=Worksheet!$K$4,INDEX(Table4312[EE Name],MATCH(0,COUNTIF($B$13:B59,Table4312[EE Name]),0)),IF($B$3=Worksheet!$K$2,INDEX(ESDPosition[EE Name],MATCH(0,COUNTIF($B$13:B59,ESDPosition[EE Name]),0)),IF($B$3=Worksheet!$K$5,INDEX(DAYPosition[EE Name],MATCH(0,COUNTIF($B$13:B59,DAYPosition[EE Name]),0)),"")))),"")</f>
        <v/>
      </c>
      <c r="C60" s="1"/>
      <c r="D60" s="64">
        <f>IF(Table54[[#This Row],[Name]]=Table54[[#This Row],[Name]],COUNTIF($E$4:E60,Table54[[#This Row],[Name]]),"")</f>
        <v>57</v>
      </c>
      <c r="E60" s="49" t="str">
        <f>IF(Table54[[#This Row],[FN]]=0,"",CONCATENATE(Table54[[#This Row],[FN]]," ",Table54[[#This Row],[LN]]))</f>
        <v/>
      </c>
      <c r="F60" s="90"/>
      <c r="G60" s="90"/>
      <c r="H60" s="90"/>
      <c r="J60" s="53" t="str">
        <f>IFERROR(INDEX(Table54[Name],_xlfn.AGGREGATE(15,6,(ROW(Table54[Name])-MIN(ROW(Table54[Name]))+1)/(Table54[Name]&lt;&gt;"")/(ISNA(MATCH(Table54[Name],$J$3:J59,0))),1)),"")</f>
        <v/>
      </c>
      <c r="K60" s="44">
        <f t="shared" si="9"/>
        <v>0</v>
      </c>
      <c r="L60" s="44">
        <f t="shared" si="9"/>
        <v>0</v>
      </c>
      <c r="M60" s="44">
        <f t="shared" si="9"/>
        <v>0</v>
      </c>
      <c r="N60" s="44">
        <f t="shared" si="9"/>
        <v>0</v>
      </c>
      <c r="P60" s="49" t="str">
        <f>IF(MONEEInfo[[#This Row],[FN]]=0,"",CONCATENATE(MONEEInfo[[#This Row],[FN]]," ",MONEEInfo[[#This Row],[LN]]))</f>
        <v/>
      </c>
      <c r="Q60" s="49"/>
      <c r="R60" s="49"/>
      <c r="S60" s="49"/>
      <c r="U60" s="53" t="str">
        <f>IFERROR(INDEX(MONEEInfo[Name],_xlfn.AGGREGATE(15,6,(ROW(MONEEInfo[Name])-MIN(ROW(MONEEInfo[Name]))+1)/(MONEEInfo[Name]&lt;&gt;"")/(ISNA(MATCH(MONEEInfo[Name],$U$3:U59,0))),1)),"")</f>
        <v/>
      </c>
      <c r="V60" s="44">
        <f t="shared" si="10"/>
        <v>0</v>
      </c>
      <c r="W60" s="44">
        <f t="shared" si="10"/>
        <v>0</v>
      </c>
      <c r="X60" s="44">
        <f t="shared" si="10"/>
        <v>0</v>
      </c>
      <c r="Y60" s="44">
        <f t="shared" si="10"/>
        <v>0</v>
      </c>
      <c r="AA60" s="49" t="str">
        <f>IF(ESDEEInfo[[#This Row],[FN]]=0,"",CONCATENATE(ESDEEInfo[[#This Row],[FN]]," ",ESDEEInfo[[#This Row],[LN]]))</f>
        <v/>
      </c>
      <c r="AB60" s="49"/>
      <c r="AC60" s="49"/>
      <c r="AD60" s="49"/>
      <c r="AF60" s="53" t="str">
        <f>IFERROR(INDEX(ESDEEInfo[Name],_xlfn.AGGREGATE(15,6,(ROW(ESDEEInfo[Name])-MIN(ROW(ESDEEInfo[Name]))+1)/(ESDEEInfo[Name]&lt;&gt;"")/(ISNA(MATCH(ESDEEInfo[Name],$AF$3:AF59,0))),1)),"")</f>
        <v/>
      </c>
      <c r="AG60" s="44">
        <f t="shared" si="11"/>
        <v>0</v>
      </c>
      <c r="AH60" s="44">
        <f t="shared" si="11"/>
        <v>0</v>
      </c>
      <c r="AI60" s="44">
        <f t="shared" si="11"/>
        <v>0</v>
      </c>
      <c r="AJ60" s="44">
        <f t="shared" si="11"/>
        <v>0</v>
      </c>
      <c r="AL60" s="49" t="str">
        <f>IF(DAYEEInfo[[#This Row],[FN]]=0,"",CONCATENATE(DAYEEInfo[[#This Row],[FN]]," ",DAYEEInfo[[#This Row],[LN]]))</f>
        <v xml:space="preserve"> </v>
      </c>
      <c r="AM60" s="49" t="s">
        <v>114</v>
      </c>
      <c r="AN60" s="49" t="s">
        <v>114</v>
      </c>
      <c r="AO60" s="49" t="s">
        <v>114</v>
      </c>
      <c r="AQ60" s="53" t="str">
        <f t="array" ref="AQ60">IFERROR(INDEX(DAYEEInfo[Name],_xlfn.AGGREGATE(15,6,(ROW(DAYEEInfo[Name])-MIN(ROW(DAYEEInfo[Name]))+1)/(DAYEEInfo[Name]&lt;&gt;"")/(ISNA(MATCH(DAYEEInfo[Name],$AQ$3:AQ59,0))),1)),"")</f>
        <v/>
      </c>
      <c r="AR60" s="44" t="str">
        <f t="shared" si="12"/>
        <v/>
      </c>
      <c r="AS60" s="44" t="str">
        <f t="shared" si="12"/>
        <v/>
      </c>
      <c r="AT60" s="44" t="str">
        <f t="shared" si="12"/>
        <v/>
      </c>
      <c r="AU60" s="44" t="str">
        <f t="shared" si="12"/>
        <v/>
      </c>
      <c r="AV60" s="102" t="str">
        <f t="shared" si="12"/>
        <v/>
      </c>
      <c r="AW60" s="102" t="str">
        <f t="shared" si="12"/>
        <v/>
      </c>
      <c r="AX60" s="102" t="str">
        <f t="shared" si="12"/>
        <v/>
      </c>
    </row>
    <row r="61" spans="1:50" ht="15" x14ac:dyDescent="0.25">
      <c r="A61" s="6"/>
      <c r="B61" s="1" t="str">
        <f t="array" ref="B61">IFERROR(IF($B$3=Worksheet!$K$3,INDEX(Table43[EE Name],MATCH(0,COUNTIF($B$13:B60,Table43[EE Name]),0)),IF($B$3=Worksheet!$K$4,INDEX(Table4312[EE Name],MATCH(0,COUNTIF($B$13:B60,Table4312[EE Name]),0)),IF($B$3=Worksheet!$K$2,INDEX(ESDPosition[EE Name],MATCH(0,COUNTIF($B$13:B60,ESDPosition[EE Name]),0)),IF($B$3=Worksheet!$K$5,INDEX(DAYPosition[EE Name],MATCH(0,COUNTIF($B$13:B60,DAYPosition[EE Name]),0)),"")))),"")</f>
        <v/>
      </c>
      <c r="C61" s="1"/>
      <c r="D61" s="64">
        <f>IF(Table54[[#This Row],[Name]]=Table54[[#This Row],[Name]],COUNTIF($E$4:E61,Table54[[#This Row],[Name]]),"")</f>
        <v>58</v>
      </c>
      <c r="E61" s="49" t="str">
        <f>IF(Table54[[#This Row],[FN]]=0,"",CONCATENATE(Table54[[#This Row],[FN]]," ",Table54[[#This Row],[LN]]))</f>
        <v/>
      </c>
      <c r="F61" s="90"/>
      <c r="G61" s="90"/>
      <c r="H61" s="90"/>
      <c r="J61" s="53" t="str">
        <f>IFERROR(INDEX(Table54[Name],_xlfn.AGGREGATE(15,6,(ROW(Table54[Name])-MIN(ROW(Table54[Name]))+1)/(Table54[Name]&lt;&gt;"")/(ISNA(MATCH(Table54[Name],$J$3:J60,0))),1)),"")</f>
        <v/>
      </c>
      <c r="K61" s="44">
        <f t="shared" si="9"/>
        <v>0</v>
      </c>
      <c r="L61" s="44">
        <f t="shared" si="9"/>
        <v>0</v>
      </c>
      <c r="M61" s="44">
        <f t="shared" si="9"/>
        <v>0</v>
      </c>
      <c r="N61" s="44">
        <f t="shared" si="9"/>
        <v>0</v>
      </c>
      <c r="P61" s="49" t="str">
        <f>IF(MONEEInfo[[#This Row],[FN]]=0,"",CONCATENATE(MONEEInfo[[#This Row],[FN]]," ",MONEEInfo[[#This Row],[LN]]))</f>
        <v/>
      </c>
      <c r="Q61" s="49"/>
      <c r="R61" s="49"/>
      <c r="S61" s="49"/>
      <c r="U61" s="53" t="str">
        <f>IFERROR(INDEX(MONEEInfo[Name],_xlfn.AGGREGATE(15,6,(ROW(MONEEInfo[Name])-MIN(ROW(MONEEInfo[Name]))+1)/(MONEEInfo[Name]&lt;&gt;"")/(ISNA(MATCH(MONEEInfo[Name],$U$3:U60,0))),1)),"")</f>
        <v/>
      </c>
      <c r="V61" s="44">
        <f t="shared" si="10"/>
        <v>0</v>
      </c>
      <c r="W61" s="44">
        <f t="shared" si="10"/>
        <v>0</v>
      </c>
      <c r="X61" s="44">
        <f t="shared" si="10"/>
        <v>0</v>
      </c>
      <c r="Y61" s="44">
        <f t="shared" si="10"/>
        <v>0</v>
      </c>
      <c r="AA61" s="49" t="str">
        <f>IF(ESDEEInfo[[#This Row],[FN]]=0,"",CONCATENATE(ESDEEInfo[[#This Row],[FN]]," ",ESDEEInfo[[#This Row],[LN]]))</f>
        <v/>
      </c>
      <c r="AB61" s="49"/>
      <c r="AC61" s="49"/>
      <c r="AD61" s="49"/>
      <c r="AF61" s="53" t="str">
        <f>IFERROR(INDEX(ESDEEInfo[Name],_xlfn.AGGREGATE(15,6,(ROW(ESDEEInfo[Name])-MIN(ROW(ESDEEInfo[Name]))+1)/(ESDEEInfo[Name]&lt;&gt;"")/(ISNA(MATCH(ESDEEInfo[Name],$AF$3:AF60,0))),1)),"")</f>
        <v/>
      </c>
      <c r="AG61" s="44">
        <f t="shared" si="11"/>
        <v>0</v>
      </c>
      <c r="AH61" s="44">
        <f t="shared" si="11"/>
        <v>0</v>
      </c>
      <c r="AI61" s="44">
        <f t="shared" si="11"/>
        <v>0</v>
      </c>
      <c r="AJ61" s="44">
        <f t="shared" si="11"/>
        <v>0</v>
      </c>
      <c r="AL61" s="49" t="str">
        <f>IF(DAYEEInfo[[#This Row],[FN]]=0,"",CONCATENATE(DAYEEInfo[[#This Row],[FN]]," ",DAYEEInfo[[#This Row],[LN]]))</f>
        <v xml:space="preserve"> </v>
      </c>
      <c r="AM61" s="49" t="s">
        <v>114</v>
      </c>
      <c r="AN61" s="49" t="s">
        <v>114</v>
      </c>
      <c r="AO61" s="49" t="s">
        <v>114</v>
      </c>
      <c r="AQ61" s="53" t="str">
        <f t="array" ref="AQ61">IFERROR(INDEX(DAYEEInfo[Name],_xlfn.AGGREGATE(15,6,(ROW(DAYEEInfo[Name])-MIN(ROW(DAYEEInfo[Name]))+1)/(DAYEEInfo[Name]&lt;&gt;"")/(ISNA(MATCH(DAYEEInfo[Name],$AQ$3:AQ60,0))),1)),"")</f>
        <v/>
      </c>
      <c r="AR61" s="44" t="str">
        <f t="shared" si="12"/>
        <v/>
      </c>
      <c r="AS61" s="44" t="str">
        <f t="shared" si="12"/>
        <v/>
      </c>
      <c r="AT61" s="44" t="str">
        <f t="shared" si="12"/>
        <v/>
      </c>
      <c r="AU61" s="44" t="str">
        <f t="shared" si="12"/>
        <v/>
      </c>
      <c r="AV61" s="102" t="str">
        <f t="shared" si="12"/>
        <v/>
      </c>
      <c r="AW61" s="102" t="str">
        <f t="shared" si="12"/>
        <v/>
      </c>
      <c r="AX61" s="102" t="str">
        <f t="shared" si="12"/>
        <v/>
      </c>
    </row>
    <row r="62" spans="1:50" ht="15" x14ac:dyDescent="0.25">
      <c r="A62" s="6"/>
      <c r="B62" s="1" t="str">
        <f t="array" ref="B62">IFERROR(IF($B$3=Worksheet!$K$3,INDEX(Table43[EE Name],MATCH(0,COUNTIF($B$13:B61,Table43[EE Name]),0)),IF($B$3=Worksheet!$K$4,INDEX(Table4312[EE Name],MATCH(0,COUNTIF($B$13:B61,Table4312[EE Name]),0)),IF($B$3=Worksheet!$K$2,INDEX(ESDPosition[EE Name],MATCH(0,COUNTIF($B$13:B61,ESDPosition[EE Name]),0)),IF($B$3=Worksheet!$K$5,INDEX(DAYPosition[EE Name],MATCH(0,COUNTIF($B$13:B61,DAYPosition[EE Name]),0)),"")))),"")</f>
        <v/>
      </c>
      <c r="C62" s="1"/>
      <c r="D62" s="64">
        <f>IF(Table54[[#This Row],[Name]]=Table54[[#This Row],[Name]],COUNTIF($E$4:E62,Table54[[#This Row],[Name]]),"")</f>
        <v>59</v>
      </c>
      <c r="E62" s="49" t="str">
        <f>IF(Table54[[#This Row],[FN]]=0,"",CONCATENATE(Table54[[#This Row],[FN]]," ",Table54[[#This Row],[LN]]))</f>
        <v/>
      </c>
      <c r="F62" s="90"/>
      <c r="G62" s="90"/>
      <c r="H62" s="90"/>
      <c r="J62" s="53" t="str">
        <f>IFERROR(INDEX(Table54[Name],_xlfn.AGGREGATE(15,6,(ROW(Table54[Name])-MIN(ROW(Table54[Name]))+1)/(Table54[Name]&lt;&gt;"")/(ISNA(MATCH(Table54[Name],$J$3:J61,0))),1)),"")</f>
        <v/>
      </c>
      <c r="K62" s="44">
        <f t="shared" si="9"/>
        <v>0</v>
      </c>
      <c r="L62" s="44">
        <f t="shared" si="9"/>
        <v>0</v>
      </c>
      <c r="M62" s="44">
        <f t="shared" si="9"/>
        <v>0</v>
      </c>
      <c r="N62" s="44">
        <f t="shared" si="9"/>
        <v>0</v>
      </c>
      <c r="P62" s="49" t="str">
        <f>IF(MONEEInfo[[#This Row],[FN]]=0,"",CONCATENATE(MONEEInfo[[#This Row],[FN]]," ",MONEEInfo[[#This Row],[LN]]))</f>
        <v/>
      </c>
      <c r="Q62" s="49"/>
      <c r="R62" s="49"/>
      <c r="S62" s="49"/>
      <c r="U62" s="53" t="str">
        <f>IFERROR(INDEX(MONEEInfo[Name],_xlfn.AGGREGATE(15,6,(ROW(MONEEInfo[Name])-MIN(ROW(MONEEInfo[Name]))+1)/(MONEEInfo[Name]&lt;&gt;"")/(ISNA(MATCH(MONEEInfo[Name],$U$3:U61,0))),1)),"")</f>
        <v/>
      </c>
      <c r="V62" s="44">
        <f t="shared" si="10"/>
        <v>0</v>
      </c>
      <c r="W62" s="44">
        <f t="shared" si="10"/>
        <v>0</v>
      </c>
      <c r="X62" s="44">
        <f t="shared" si="10"/>
        <v>0</v>
      </c>
      <c r="Y62" s="44">
        <f t="shared" si="10"/>
        <v>0</v>
      </c>
      <c r="AA62" s="49" t="str">
        <f>IF(ESDEEInfo[[#This Row],[FN]]=0,"",CONCATENATE(ESDEEInfo[[#This Row],[FN]]," ",ESDEEInfo[[#This Row],[LN]]))</f>
        <v/>
      </c>
      <c r="AB62" s="49"/>
      <c r="AC62" s="49"/>
      <c r="AD62" s="49"/>
      <c r="AF62" s="53" t="str">
        <f>IFERROR(INDEX(ESDEEInfo[Name],_xlfn.AGGREGATE(15,6,(ROW(ESDEEInfo[Name])-MIN(ROW(ESDEEInfo[Name]))+1)/(ESDEEInfo[Name]&lt;&gt;"")/(ISNA(MATCH(ESDEEInfo[Name],$AF$3:AF61,0))),1)),"")</f>
        <v/>
      </c>
      <c r="AG62" s="44">
        <f t="shared" si="11"/>
        <v>0</v>
      </c>
      <c r="AH62" s="44">
        <f t="shared" si="11"/>
        <v>0</v>
      </c>
      <c r="AI62" s="44">
        <f t="shared" si="11"/>
        <v>0</v>
      </c>
      <c r="AJ62" s="44">
        <f t="shared" si="11"/>
        <v>0</v>
      </c>
      <c r="AL62" s="49" t="str">
        <f>IF(DAYEEInfo[[#This Row],[FN]]=0,"",CONCATENATE(DAYEEInfo[[#This Row],[FN]]," ",DAYEEInfo[[#This Row],[LN]]))</f>
        <v xml:space="preserve"> </v>
      </c>
      <c r="AM62" s="49" t="s">
        <v>114</v>
      </c>
      <c r="AN62" s="49" t="s">
        <v>114</v>
      </c>
      <c r="AO62" s="49" t="s">
        <v>114</v>
      </c>
      <c r="AQ62" s="53" t="str">
        <f t="array" ref="AQ62">IFERROR(INDEX(DAYEEInfo[Name],_xlfn.AGGREGATE(15,6,(ROW(DAYEEInfo[Name])-MIN(ROW(DAYEEInfo[Name]))+1)/(DAYEEInfo[Name]&lt;&gt;"")/(ISNA(MATCH(DAYEEInfo[Name],$AQ$3:AQ61,0))),1)),"")</f>
        <v/>
      </c>
      <c r="AR62" s="44" t="str">
        <f t="shared" si="12"/>
        <v/>
      </c>
      <c r="AS62" s="44" t="str">
        <f t="shared" si="12"/>
        <v/>
      </c>
      <c r="AT62" s="44" t="str">
        <f t="shared" si="12"/>
        <v/>
      </c>
      <c r="AU62" s="44" t="str">
        <f t="shared" si="12"/>
        <v/>
      </c>
      <c r="AV62" s="102" t="str">
        <f t="shared" si="12"/>
        <v/>
      </c>
      <c r="AW62" s="102" t="str">
        <f t="shared" si="12"/>
        <v/>
      </c>
      <c r="AX62" s="102" t="str">
        <f t="shared" si="12"/>
        <v/>
      </c>
    </row>
    <row r="63" spans="1:50" x14ac:dyDescent="0.2">
      <c r="A63" s="6"/>
      <c r="C63" s="1"/>
      <c r="D63" s="1"/>
      <c r="E63" s="64"/>
      <c r="F63" s="64"/>
      <c r="G63" s="64"/>
      <c r="H63" s="64"/>
      <c r="J63" s="53"/>
      <c r="K63" s="44"/>
      <c r="L63" s="44"/>
      <c r="M63" s="44"/>
      <c r="N63" s="44"/>
      <c r="P63" s="64"/>
      <c r="Q63" s="64"/>
      <c r="R63" s="64"/>
      <c r="S63" s="64"/>
      <c r="U63" s="53"/>
      <c r="V63" s="44"/>
      <c r="W63" s="44"/>
      <c r="X63" s="44"/>
      <c r="Y63" s="44"/>
      <c r="AA63" s="64"/>
      <c r="AB63" s="64"/>
      <c r="AC63" s="64"/>
      <c r="AD63" s="64"/>
      <c r="AF63" s="53"/>
      <c r="AG63" s="44"/>
      <c r="AH63" s="44"/>
      <c r="AI63" s="44"/>
      <c r="AJ63" s="44"/>
      <c r="AL63" s="64"/>
      <c r="AM63" s="64"/>
      <c r="AN63" s="64"/>
      <c r="AO63" s="64"/>
      <c r="AQ63" s="53"/>
      <c r="AR63" s="44"/>
      <c r="AS63" s="44"/>
      <c r="AT63" s="44"/>
      <c r="AU63" s="44"/>
    </row>
    <row r="64" spans="1:50" ht="15" x14ac:dyDescent="0.25">
      <c r="A64" s="278" t="s">
        <v>102</v>
      </c>
      <c r="B64" s="278"/>
      <c r="C64" s="278"/>
      <c r="D64" s="278"/>
      <c r="E64" s="278"/>
      <c r="J64" s="50" t="s">
        <v>114</v>
      </c>
    </row>
    <row r="65" spans="1:10" ht="15" x14ac:dyDescent="0.25">
      <c r="A65" s="101" t="s">
        <v>101</v>
      </c>
      <c r="B65" s="76">
        <f>'May-Jun2'!$C$41</f>
        <v>0</v>
      </c>
      <c r="C65" s="101"/>
      <c r="D65" s="101"/>
      <c r="E65" s="76">
        <f t="array" ref="E65">IFERROR(INDEX($B$65:$B$77,_xlfn.AGGREGATE(15,6,(ROW($B$65:$B$77)-MIN(ROW($B$65:$B$77))+1)/($B$65:$B$77&lt;&gt;"")/(ISNA(MATCH($B$65:$B$77,$E64:E$64,0))),1)),"")</f>
        <v>0</v>
      </c>
      <c r="J65" s="50"/>
    </row>
    <row r="66" spans="1:10" x14ac:dyDescent="0.2">
      <c r="A66" s="23" t="s">
        <v>90</v>
      </c>
      <c r="B66" s="76">
        <f>'Jun-Jul'!$C$41</f>
        <v>0</v>
      </c>
      <c r="C66" s="23"/>
      <c r="D66" s="23"/>
      <c r="E66" s="76" t="str">
        <f t="array" ref="E66">IFERROR(INDEX($B$65:$B$77,_xlfn.AGGREGATE(15,6,(ROW($B$65:$B$77)-MIN(ROW($B$65:$B$77))+1)/($B$65:$B$77&lt;&gt;"")/(ISNA(MATCH($B$65:$B$77,$E$64:E65,0))),1)),"")</f>
        <v/>
      </c>
    </row>
    <row r="67" spans="1:10" x14ac:dyDescent="0.2">
      <c r="A67" s="23" t="s">
        <v>91</v>
      </c>
      <c r="B67" s="76">
        <f>'Jul-Aug'!$C$41</f>
        <v>0</v>
      </c>
      <c r="C67" s="23"/>
      <c r="D67" s="23"/>
      <c r="E67" s="76" t="str">
        <f t="array" ref="E67">IFERROR(INDEX($B$65:$B$77,_xlfn.AGGREGATE(15,6,(ROW($B$65:$B$77)-MIN(ROW($B$65:$B$77))+1)/($B$65:$B$77&lt;&gt;"")/(ISNA(MATCH($B$65:$B$77,$E$64:E66,0))),1)),"")</f>
        <v/>
      </c>
    </row>
    <row r="68" spans="1:10" x14ac:dyDescent="0.2">
      <c r="A68" s="23" t="s">
        <v>92</v>
      </c>
      <c r="B68" s="76">
        <f>'Aug-Sep'!$C$41</f>
        <v>0</v>
      </c>
      <c r="C68" s="23"/>
      <c r="D68" s="23"/>
      <c r="E68" s="76" t="str">
        <f t="array" ref="E68">IFERROR(INDEX($B$65:$B$77,_xlfn.AGGREGATE(15,6,(ROW($B$65:$B$77)-MIN(ROW($B$65:$B$77))+1)/($B$65:$B$77&lt;&gt;"")/(ISNA(MATCH($B$65:$B$77,$E$64:E67,0))),1)),"")</f>
        <v/>
      </c>
    </row>
    <row r="69" spans="1:10" x14ac:dyDescent="0.2">
      <c r="A69" s="23" t="s">
        <v>93</v>
      </c>
      <c r="B69" s="76">
        <f>'Sep-Oct'!$C$41</f>
        <v>0</v>
      </c>
      <c r="C69" s="23"/>
      <c r="D69" s="23"/>
      <c r="E69" s="76" t="str">
        <f t="array" ref="E69">IFERROR(INDEX($B$65:$B$77,_xlfn.AGGREGATE(15,6,(ROW($B$65:$B$77)-MIN(ROW($B$65:$B$77))+1)/($B$65:$B$77&lt;&gt;"")/(ISNA(MATCH($B$65:$B$77,$E$64:E68,0))),1)),"")</f>
        <v/>
      </c>
    </row>
    <row r="70" spans="1:10" x14ac:dyDescent="0.2">
      <c r="A70" s="23" t="s">
        <v>94</v>
      </c>
      <c r="B70" s="76">
        <f>'Oct-Nov'!$C$41</f>
        <v>0</v>
      </c>
      <c r="C70" s="23"/>
      <c r="D70" s="23"/>
      <c r="E70" s="76" t="str">
        <f t="array" ref="E70">IFERROR(INDEX($B$65:$B$77,_xlfn.AGGREGATE(15,6,(ROW($B$65:$B$77)-MIN(ROW($B$65:$B$77))+1)/($B$65:$B$77&lt;&gt;"")/(ISNA(MATCH($B$65:$B$77,$E$64:E69,0))),1)),"")</f>
        <v/>
      </c>
      <c r="G70" s="52"/>
    </row>
    <row r="71" spans="1:10" x14ac:dyDescent="0.2">
      <c r="A71" s="23" t="s">
        <v>95</v>
      </c>
      <c r="B71" s="76">
        <f>'Nov-Dec'!$C$41</f>
        <v>0</v>
      </c>
      <c r="C71" s="23"/>
      <c r="D71" s="23"/>
      <c r="E71" s="76" t="str">
        <f t="array" ref="E71">IFERROR(INDEX($B$65:$B$77,_xlfn.AGGREGATE(15,6,(ROW($B$65:$B$77)-MIN(ROW($B$65:$B$77))+1)/($B$65:$B$77&lt;&gt;"")/(ISNA(MATCH($B$65:$B$77,$E$64:E70,0))),1)),"")</f>
        <v/>
      </c>
    </row>
    <row r="72" spans="1:10" x14ac:dyDescent="0.2">
      <c r="A72" s="23" t="s">
        <v>96</v>
      </c>
      <c r="B72" s="76">
        <f>'Dec-Jan'!$C$41</f>
        <v>0</v>
      </c>
      <c r="C72" s="23"/>
      <c r="D72" s="23"/>
      <c r="E72" s="76" t="str">
        <f t="array" ref="E72">IFERROR(INDEX($B$65:$B$77,_xlfn.AGGREGATE(15,6,(ROW($B$65:$B$77)-MIN(ROW($B$65:$B$77))+1)/($B$65:$B$77&lt;&gt;"")/(ISNA(MATCH($B$65:$B$77,$E$64:E71,0))),1)),"")</f>
        <v/>
      </c>
    </row>
    <row r="73" spans="1:10" x14ac:dyDescent="0.2">
      <c r="A73" s="23" t="s">
        <v>97</v>
      </c>
      <c r="B73" s="76">
        <f>'Jan-Feb'!$C$41</f>
        <v>0</v>
      </c>
      <c r="C73" s="23"/>
      <c r="D73" s="23"/>
      <c r="E73" s="76" t="str">
        <f t="array" ref="E73">IFERROR(INDEX($B$65:$B$77,_xlfn.AGGREGATE(15,6,(ROW($B$65:$B$77)-MIN(ROW($B$65:$B$77))+1)/($B$65:$B$77&lt;&gt;"")/(ISNA(MATCH($B$65:$B$77,$E$64:E72,0))),1)),"")</f>
        <v/>
      </c>
    </row>
    <row r="74" spans="1:10" x14ac:dyDescent="0.2">
      <c r="A74" s="23" t="s">
        <v>98</v>
      </c>
      <c r="B74" s="76">
        <f>'Feb-Mar'!$C$41</f>
        <v>0</v>
      </c>
      <c r="C74" s="23"/>
      <c r="D74" s="23"/>
      <c r="E74" s="76" t="str">
        <f t="array" ref="E74">IFERROR(INDEX($B$65:$B$77,_xlfn.AGGREGATE(15,6,(ROW($B$65:$B$77)-MIN(ROW($B$65:$B$77))+1)/($B$65:$B$77&lt;&gt;"")/(ISNA(MATCH($B$65:$B$77,$E$64:E73,0))),1)),"")</f>
        <v/>
      </c>
    </row>
    <row r="75" spans="1:10" x14ac:dyDescent="0.2">
      <c r="A75" s="23" t="s">
        <v>99</v>
      </c>
      <c r="B75" s="76">
        <f>'Mar-Apr'!$C$41</f>
        <v>0</v>
      </c>
      <c r="C75" s="77"/>
      <c r="D75" s="77"/>
      <c r="E75" s="76" t="str">
        <f t="array" ref="E75">IFERROR(INDEX($B$65:$B$77,_xlfn.AGGREGATE(15,6,(ROW($B$65:$B$77)-MIN(ROW($B$65:$B$77))+1)/($B$65:$B$77&lt;&gt;"")/(ISNA(MATCH($B$65:$B$77,$E$64:E74,0))),1)),"")</f>
        <v/>
      </c>
    </row>
    <row r="76" spans="1:10" x14ac:dyDescent="0.2">
      <c r="A76" s="23" t="s">
        <v>100</v>
      </c>
      <c r="B76" s="76">
        <f>'Apr-May'!$C$41</f>
        <v>0</v>
      </c>
      <c r="C76" s="77"/>
      <c r="D76" s="77"/>
      <c r="E76" s="76" t="str">
        <f t="array" ref="E76">IFERROR(INDEX($B$65:$B$77,_xlfn.AGGREGATE(15,6,(ROW($B$65:$B$77)-MIN(ROW($B$65:$B$77))+1)/($B$65:$B$77&lt;&gt;"")/(ISNA(MATCH($B$65:$B$77,$E$64:E75,0))),1)),"")</f>
        <v/>
      </c>
    </row>
    <row r="77" spans="1:10" x14ac:dyDescent="0.2">
      <c r="A77" s="23" t="s">
        <v>101</v>
      </c>
      <c r="B77" s="76">
        <f>'May-Jun'!$C$41</f>
        <v>0</v>
      </c>
      <c r="C77" s="77"/>
      <c r="D77" s="77"/>
      <c r="E77" s="76" t="str">
        <f t="array" ref="E77">IFERROR(INDEX($B$65:$B$77,_xlfn.AGGREGATE(15,6,(ROW($B$65:$B$77)-MIN(ROW($B$65:$B$77))+1)/($B$65:$B$77&lt;&gt;"")/(ISNA(MATCH($B$65:$B$77,$E$64:E76,0))),1)),"")</f>
        <v/>
      </c>
    </row>
    <row r="81" spans="2:2" x14ac:dyDescent="0.2">
      <c r="B81" s="1" t="str">
        <f>IFERROR('Jun-Jul'!$C$41:$L$41,"")</f>
        <v/>
      </c>
    </row>
    <row r="82" spans="2:2" x14ac:dyDescent="0.2">
      <c r="B82" s="1" t="str">
        <f>IFERROR('Jun-Jul'!$C$41:$L$41,"")</f>
        <v/>
      </c>
    </row>
    <row r="83" spans="2:2" x14ac:dyDescent="0.2">
      <c r="B83" s="1" t="str">
        <f>IFERROR('Jun-Jul'!$C$41:$L$41,"")</f>
        <v/>
      </c>
    </row>
    <row r="84" spans="2:2" x14ac:dyDescent="0.2">
      <c r="B84" s="1" t="str">
        <f>IFERROR('Jun-Jul'!$C$41:$L$41,"")</f>
        <v/>
      </c>
    </row>
    <row r="85" spans="2:2" x14ac:dyDescent="0.2">
      <c r="B85" s="1" t="str">
        <f>IFERROR('Jun-Jul'!$C$41:$L$41,"")</f>
        <v/>
      </c>
    </row>
    <row r="86" spans="2:2" x14ac:dyDescent="0.2">
      <c r="B86" s="1" t="str">
        <f>IFERROR('Jun-Jul'!$C$41:$L$41,"")</f>
        <v/>
      </c>
    </row>
    <row r="87" spans="2:2" x14ac:dyDescent="0.2">
      <c r="B87" s="1" t="str">
        <f>IFERROR('Jun-Jul'!$C$41:$L$41,"")</f>
        <v/>
      </c>
    </row>
    <row r="88" spans="2:2" x14ac:dyDescent="0.2">
      <c r="B88" s="1" t="str">
        <f>IFERROR('Jun-Jul'!$C$41:$L$41,"")</f>
        <v/>
      </c>
    </row>
    <row r="89" spans="2:2" x14ac:dyDescent="0.2">
      <c r="B89" s="1" t="str">
        <f>IFERROR('Jun-Jul'!$C$41:$L$41,"")</f>
        <v/>
      </c>
    </row>
    <row r="90" spans="2:2" x14ac:dyDescent="0.2">
      <c r="B90" s="1" t="str">
        <f>IFERROR('Jun-Jul'!$C$41:$L$41,"")</f>
        <v/>
      </c>
    </row>
  </sheetData>
  <sheetProtection formatCells="0" formatColumns="0" formatRows="0"/>
  <mergeCells count="9">
    <mergeCell ref="A64:E64"/>
    <mergeCell ref="AL2:AO2"/>
    <mergeCell ref="AQ2:AU2"/>
    <mergeCell ref="AF2:AJ2"/>
    <mergeCell ref="E2:H2"/>
    <mergeCell ref="U2:Y2"/>
    <mergeCell ref="P2:S2"/>
    <mergeCell ref="J2:N2"/>
    <mergeCell ref="AA2:AD2"/>
  </mergeCells>
  <pageMargins left="0.7" right="0.7" top="0.75" bottom="0.75" header="0.3" footer="0.3"/>
  <pageSetup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151CF1-4BC3-4319-B68E-E07B0AE4FDB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82</vt:i4>
      </vt:variant>
    </vt:vector>
  </HeadingPairs>
  <TitlesOfParts>
    <vt:vector size="98" baseType="lpstr">
      <vt:lpstr>May-Jun2</vt:lpstr>
      <vt:lpstr>Jun-Jul</vt:lpstr>
      <vt:lpstr>Jul-Aug</vt:lpstr>
      <vt:lpstr>Aug-Sep</vt:lpstr>
      <vt:lpstr>Sep-Oct</vt:lpstr>
      <vt:lpstr>Oct-Nov</vt:lpstr>
      <vt:lpstr>Nov-Dec</vt:lpstr>
      <vt:lpstr>Dec-Jan</vt:lpstr>
      <vt:lpstr>Jan-Feb</vt:lpstr>
      <vt:lpstr>Feb-Mar</vt:lpstr>
      <vt:lpstr>Mar-Apr</vt:lpstr>
      <vt:lpstr>Apr-May</vt:lpstr>
      <vt:lpstr>May-Jun</vt:lpstr>
      <vt:lpstr>Jun-Jun30</vt:lpstr>
      <vt:lpstr>Worksheet</vt:lpstr>
      <vt:lpstr>EE Info</vt:lpstr>
      <vt:lpstr>AprOL</vt:lpstr>
      <vt:lpstr>AprPL</vt:lpstr>
      <vt:lpstr>AprSL</vt:lpstr>
      <vt:lpstr>AprSubs</vt:lpstr>
      <vt:lpstr>AugOL</vt:lpstr>
      <vt:lpstr>AugPL</vt:lpstr>
      <vt:lpstr>AugSL</vt:lpstr>
      <vt:lpstr>AugSubs</vt:lpstr>
      <vt:lpstr>DecOL</vt:lpstr>
      <vt:lpstr>DecPL</vt:lpstr>
      <vt:lpstr>DecSL</vt:lpstr>
      <vt:lpstr>DecSubs</vt:lpstr>
      <vt:lpstr>EE.N</vt:lpstr>
      <vt:lpstr>EE.P</vt:lpstr>
      <vt:lpstr>EEList</vt:lpstr>
      <vt:lpstr>EName_Date</vt:lpstr>
      <vt:lpstr>ESDPD</vt:lpstr>
      <vt:lpstr>Event_date</vt:lpstr>
      <vt:lpstr>Event_name</vt:lpstr>
      <vt:lpstr>FebOL</vt:lpstr>
      <vt:lpstr>FebPL</vt:lpstr>
      <vt:lpstr>FebSL</vt:lpstr>
      <vt:lpstr>FebSubs</vt:lpstr>
      <vt:lpstr>Holiday</vt:lpstr>
      <vt:lpstr>JanOL</vt:lpstr>
      <vt:lpstr>JanPL</vt:lpstr>
      <vt:lpstr>JanSL</vt:lpstr>
      <vt:lpstr>JanSubs</vt:lpstr>
      <vt:lpstr>'Jun-Jun30'!JunOL</vt:lpstr>
      <vt:lpstr>'May-Jun2'!JunOL</vt:lpstr>
      <vt:lpstr>JunOL</vt:lpstr>
      <vt:lpstr>'Jun-Jun30'!JunPL</vt:lpstr>
      <vt:lpstr>'May-Jun2'!JunPL</vt:lpstr>
      <vt:lpstr>JunPL</vt:lpstr>
      <vt:lpstr>'Jun-Jun30'!JunSL</vt:lpstr>
      <vt:lpstr>'May-Jun2'!JunSL</vt:lpstr>
      <vt:lpstr>JunSL</vt:lpstr>
      <vt:lpstr>'Jun-Jun30'!JunSubs</vt:lpstr>
      <vt:lpstr>'May-Jun2'!JunSubs</vt:lpstr>
      <vt:lpstr>JunSubs</vt:lpstr>
      <vt:lpstr>lunch</vt:lpstr>
      <vt:lpstr>MarOL</vt:lpstr>
      <vt:lpstr>MarPL</vt:lpstr>
      <vt:lpstr>MarSL</vt:lpstr>
      <vt:lpstr>MarSubs</vt:lpstr>
      <vt:lpstr>MayOL</vt:lpstr>
      <vt:lpstr>MayPL</vt:lpstr>
      <vt:lpstr>MaySL</vt:lpstr>
      <vt:lpstr>MaySubs</vt:lpstr>
      <vt:lpstr>NovOL</vt:lpstr>
      <vt:lpstr>NovPL</vt:lpstr>
      <vt:lpstr>NovSL</vt:lpstr>
      <vt:lpstr>NovSubs</vt:lpstr>
      <vt:lpstr>OctOL</vt:lpstr>
      <vt:lpstr>OctPL</vt:lpstr>
      <vt:lpstr>OctSL</vt:lpstr>
      <vt:lpstr>OctSubs</vt:lpstr>
      <vt:lpstr>OL</vt:lpstr>
      <vt:lpstr>PCPDate</vt:lpstr>
      <vt:lpstr>PL</vt:lpstr>
      <vt:lpstr>'Apr-May'!Print_Area</vt:lpstr>
      <vt:lpstr>'Aug-Sep'!Print_Area</vt:lpstr>
      <vt:lpstr>'Dec-Jan'!Print_Area</vt:lpstr>
      <vt:lpstr>'Feb-Mar'!Print_Area</vt:lpstr>
      <vt:lpstr>'Jan-Feb'!Print_Area</vt:lpstr>
      <vt:lpstr>'Jul-Aug'!Print_Area</vt:lpstr>
      <vt:lpstr>'Jun-Jul'!Print_Area</vt:lpstr>
      <vt:lpstr>'Jun-Jun30'!Print_Area</vt:lpstr>
      <vt:lpstr>'Mar-Apr'!Print_Area</vt:lpstr>
      <vt:lpstr>'May-Jun'!Print_Area</vt:lpstr>
      <vt:lpstr>'May-Jun2'!Print_Area</vt:lpstr>
      <vt:lpstr>'Nov-Dec'!Print_Area</vt:lpstr>
      <vt:lpstr>'Oct-Nov'!Print_Area</vt:lpstr>
      <vt:lpstr>'Sep-Oct'!Print_Area</vt:lpstr>
      <vt:lpstr>PRNotes</vt:lpstr>
      <vt:lpstr>SepOL</vt:lpstr>
      <vt:lpstr>SepPL</vt:lpstr>
      <vt:lpstr>SepSL</vt:lpstr>
      <vt:lpstr>SepSubs</vt:lpstr>
      <vt:lpstr>Sl</vt:lpstr>
      <vt:lpstr>Subs</vt:lpstr>
      <vt:lpstr>TimeList</vt:lpstr>
    </vt:vector>
  </TitlesOfParts>
  <Company>Grant County ESD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 Young</dc:creator>
  <cp:lastModifiedBy>Tara Young</cp:lastModifiedBy>
  <cp:lastPrinted>2024-07-02T14:47:37Z</cp:lastPrinted>
  <dcterms:created xsi:type="dcterms:W3CDTF">2020-12-29T21:28:59Z</dcterms:created>
  <dcterms:modified xsi:type="dcterms:W3CDTF">2024-07-08T15:14:57Z</dcterms:modified>
</cp:coreProperties>
</file>